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finanza\"/>
    </mc:Choice>
  </mc:AlternateContent>
  <xr:revisionPtr revIDLastSave="0" documentId="13_ncr:1_{A5D5D1F9-6473-47EF-A49B-717E00EC082A}" xr6:coauthVersionLast="47" xr6:coauthVersionMax="47" xr10:uidLastSave="{00000000-0000-0000-0000-000000000000}"/>
  <bookViews>
    <workbookView xWindow="-120" yWindow="-120" windowWidth="29040" windowHeight="15720" xr2:uid="{A6DF08A1-6AB2-404E-9527-52D3C549E566}"/>
  </bookViews>
  <sheets>
    <sheet name="MODIFICHE" sheetId="8" r:id="rId1"/>
    <sheet name="Analisi" sheetId="3" r:id="rId2"/>
    <sheet name="Analisi con aliquota bloccata" sheetId="4" r:id="rId3"/>
    <sheet name="Sheet1" sheetId="5" r:id="rId4"/>
    <sheet name="Analisi con tassazione posticip" sheetId="6" r:id="rId5"/>
    <sheet name="Analisi con tax post e aliq blo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7" l="1"/>
  <c r="C15" i="7"/>
  <c r="B15" i="7"/>
  <c r="D15" i="6"/>
  <c r="C15" i="6"/>
  <c r="B15" i="6"/>
  <c r="D15" i="4"/>
  <c r="C15" i="4"/>
  <c r="B15" i="4"/>
  <c r="C15" i="3"/>
  <c r="D15" i="3"/>
  <c r="B15" i="3"/>
  <c r="L16" i="3" a="1"/>
  <c r="L16" i="3" s="1"/>
  <c r="L16" i="4" a="1"/>
  <c r="L16" i="4" s="1"/>
  <c r="L16" i="6" a="1"/>
  <c r="L16" i="6" s="1"/>
  <c r="D9" i="6" s="1"/>
  <c r="L16" i="7" a="1"/>
  <c r="L16" i="7" s="1"/>
  <c r="D9" i="7" s="1"/>
  <c r="L15" i="7" a="1"/>
  <c r="L15" i="7" s="1"/>
  <c r="L15" i="6" a="1"/>
  <c r="L15" i="6" s="1"/>
  <c r="L15" i="4" a="1"/>
  <c r="L15" i="4" s="1"/>
  <c r="L15" i="3" a="1"/>
  <c r="L15" i="3" s="1"/>
  <c r="L12" i="7"/>
  <c r="B11" i="7"/>
  <c r="B14" i="7" s="1"/>
  <c r="D7" i="7"/>
  <c r="O6" i="7"/>
  <c r="O7" i="7" s="1"/>
  <c r="C6" i="7"/>
  <c r="C11" i="7" s="1"/>
  <c r="B6" i="7"/>
  <c r="O5" i="7"/>
  <c r="B5" i="7"/>
  <c r="B4" i="7"/>
  <c r="B2" i="7"/>
  <c r="B10" i="7" s="1"/>
  <c r="C14" i="6"/>
  <c r="L13" i="6"/>
  <c r="L12" i="6"/>
  <c r="C11" i="6"/>
  <c r="D7" i="6"/>
  <c r="O6" i="6"/>
  <c r="O7" i="6" s="1"/>
  <c r="C6" i="6"/>
  <c r="B6" i="6"/>
  <c r="B11" i="6" s="1"/>
  <c r="O5" i="6"/>
  <c r="B5" i="6"/>
  <c r="B4" i="6"/>
  <c r="C3" i="6"/>
  <c r="B2" i="6"/>
  <c r="B10" i="6" s="1"/>
  <c r="C2" i="5"/>
  <c r="D2" i="5"/>
  <c r="B2" i="5"/>
  <c r="H2" i="4"/>
  <c r="I2" i="4"/>
  <c r="G2" i="4"/>
  <c r="C14" i="4"/>
  <c r="L12" i="4"/>
  <c r="D7" i="4"/>
  <c r="C6" i="4"/>
  <c r="C11" i="4" s="1"/>
  <c r="B6" i="4"/>
  <c r="B11" i="4" s="1"/>
  <c r="B14" i="4" s="1"/>
  <c r="O5" i="4"/>
  <c r="O6" i="4" s="1"/>
  <c r="B5" i="4"/>
  <c r="B4" i="4"/>
  <c r="B2" i="4"/>
  <c r="L13" i="3"/>
  <c r="B2" i="3"/>
  <c r="D7" i="3"/>
  <c r="C6" i="3"/>
  <c r="C11" i="3" s="1"/>
  <c r="B5" i="3"/>
  <c r="B6" i="3"/>
  <c r="B11" i="3" s="1"/>
  <c r="B4" i="3"/>
  <c r="O5" i="3"/>
  <c r="O6" i="3" s="1"/>
  <c r="L12" i="3"/>
  <c r="C3" i="3"/>
  <c r="B17" i="4" l="1"/>
  <c r="B20" i="4" s="1"/>
  <c r="C17" i="4"/>
  <c r="C20" i="4" s="1"/>
  <c r="C17" i="6"/>
  <c r="C20" i="6" s="1"/>
  <c r="D8" i="7"/>
  <c r="C8" i="7"/>
  <c r="B8" i="7"/>
  <c r="C8" i="6"/>
  <c r="C12" i="6" s="1"/>
  <c r="B8" i="6"/>
  <c r="B12" i="6" s="1"/>
  <c r="B18" i="6" s="1"/>
  <c r="D8" i="6"/>
  <c r="B8" i="4"/>
  <c r="B12" i="4" s="1"/>
  <c r="D8" i="4"/>
  <c r="C8" i="4"/>
  <c r="D8" i="3"/>
  <c r="B8" i="3"/>
  <c r="B12" i="3" s="1"/>
  <c r="B21" i="3" s="1"/>
  <c r="C8" i="3"/>
  <c r="C14" i="7"/>
  <c r="C17" i="7" s="1"/>
  <c r="B13" i="7"/>
  <c r="B17" i="7"/>
  <c r="B20" i="7" s="1"/>
  <c r="B12" i="7"/>
  <c r="C3" i="7"/>
  <c r="D3" i="7"/>
  <c r="B13" i="6"/>
  <c r="B14" i="6"/>
  <c r="B17" i="6" s="1"/>
  <c r="D3" i="6"/>
  <c r="F2" i="5"/>
  <c r="G2" i="5"/>
  <c r="B10" i="4"/>
  <c r="D9" i="4"/>
  <c r="O7" i="4"/>
  <c r="C3" i="4"/>
  <c r="D3" i="4"/>
  <c r="B14" i="3"/>
  <c r="C14" i="3"/>
  <c r="O7" i="3"/>
  <c r="D9" i="3"/>
  <c r="C12" i="3"/>
  <c r="C21" i="3" s="1"/>
  <c r="B10" i="3"/>
  <c r="B13" i="3" s="1"/>
  <c r="D3" i="3"/>
  <c r="B16" i="6" l="1"/>
  <c r="B19" i="6" s="1"/>
  <c r="B21" i="6"/>
  <c r="B21" i="4"/>
  <c r="B16" i="3"/>
  <c r="B18" i="7"/>
  <c r="C12" i="7"/>
  <c r="D12" i="7"/>
  <c r="C20" i="7"/>
  <c r="B16" i="7"/>
  <c r="B19" i="7" s="1"/>
  <c r="C18" i="6"/>
  <c r="B20" i="6"/>
  <c r="D12" i="6"/>
  <c r="B13" i="4"/>
  <c r="B16" i="4"/>
  <c r="B17" i="3"/>
  <c r="B20" i="3" s="1"/>
  <c r="D12" i="4"/>
  <c r="D21" i="4" s="1"/>
  <c r="D22" i="4" s="1"/>
  <c r="I4" i="4" s="1"/>
  <c r="C12" i="4"/>
  <c r="C21" i="4" s="1"/>
  <c r="C22" i="4" s="1"/>
  <c r="H4" i="4" s="1"/>
  <c r="C17" i="3"/>
  <c r="C20" i="3" s="1"/>
  <c r="D12" i="3"/>
  <c r="D21" i="3" s="1"/>
  <c r="B22" i="6" l="1"/>
  <c r="G4" i="6" s="1"/>
  <c r="B21" i="7"/>
  <c r="B22" i="7" s="1"/>
  <c r="G4" i="7" s="1"/>
  <c r="C18" i="7"/>
  <c r="D18" i="7"/>
  <c r="C21" i="6"/>
  <c r="C22" i="6" s="1"/>
  <c r="H4" i="6" s="1"/>
  <c r="D18" i="6"/>
  <c r="B19" i="4"/>
  <c r="B22" i="4" s="1"/>
  <c r="G4" i="4" s="1"/>
  <c r="B19" i="3"/>
  <c r="B22" i="3" s="1"/>
  <c r="G4" i="3" s="1"/>
  <c r="D21" i="7" l="1"/>
  <c r="D22" i="7" s="1"/>
  <c r="I4" i="7" s="1"/>
  <c r="C21" i="7"/>
  <c r="C22" i="7" s="1"/>
  <c r="H4" i="7" s="1"/>
  <c r="D21" i="6"/>
  <c r="D22" i="6" s="1"/>
  <c r="I4" i="6" s="1"/>
  <c r="C22" i="3"/>
  <c r="H4" i="3" s="1"/>
  <c r="D22" i="3" l="1"/>
  <c r="I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</author>
  </authors>
  <commentList>
    <comment ref="C8" authorId="0" shapeId="0" xr:uid="{79B78975-B1A1-4138-898F-7D73DB9F32DA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ATTENZIONE che metto anche la tassazione del contributo aziendale in quanto pure quello è deducibile!</t>
        </r>
      </text>
    </comment>
    <comment ref="L15" authorId="0" shapeId="0" xr:uid="{5BAD61C5-93E7-4138-9E54-7B196A37AA76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tolgo il 10,19% dalla ral per determinare lo scaglione perché le tasse si pagano in base alla RAL meno I contributi previdenziali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</author>
  </authors>
  <commentList>
    <comment ref="C8" authorId="0" shapeId="0" xr:uid="{8E625B00-AE47-41C6-8BD4-E33E826BDAF1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ATTENZIONE che metto anche la tassazione del contributo aziendale in quanto pure quello è deducibile!</t>
        </r>
      </text>
    </comment>
    <comment ref="L15" authorId="0" shapeId="0" xr:uid="{FD2F5AA8-0F45-47BB-B966-D18C9ACF3C9D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tolgo il 10,19% dalla ral per determinare lo scaglione perché le tasse si pagano in base alla RAL meno I contributi previdenziali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</author>
  </authors>
  <commentList>
    <comment ref="C8" authorId="0" shapeId="0" xr:uid="{1B6F2A38-42A5-4B45-B5BD-8FA2528B8148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ATTENZIONE che metto anche la tassazione del contributo aziendale in quanto pure quello è deducibile!</t>
        </r>
      </text>
    </comment>
    <comment ref="L15" authorId="0" shapeId="0" xr:uid="{78E8FB6E-08E2-4F3C-AF57-A843AF459CE9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tolgo il 10,19% dalla ral per determinare lo scaglione perché le tasse si pagano in base alla RAL meno I contributi previdenziali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</author>
  </authors>
  <commentList>
    <comment ref="C8" authorId="0" shapeId="0" xr:uid="{9EF1964D-EE45-4AB7-8FA4-F5C25C55C122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ATTENZIONE che metto anche la tassazione del contributo aziendale in quanto pure quello è deducibile!</t>
        </r>
      </text>
    </comment>
    <comment ref="L15" authorId="0" shapeId="0" xr:uid="{D77019A5-F839-411F-B3F0-51963D52B487}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tolgo il 10,19% dalla ral per determinare lo scaglione perché le tasse si pagano in base alla RAL meno I contributi previdenziali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<sst xmlns="http://schemas.openxmlformats.org/spreadsheetml/2006/main" count="182" uniqueCount="47">
  <si>
    <t>Fondo pensione</t>
  </si>
  <si>
    <t>Tempo indeterminato</t>
  </si>
  <si>
    <t>Tempo determinato</t>
  </si>
  <si>
    <t>RAL</t>
  </si>
  <si>
    <t>Verso</t>
  </si>
  <si>
    <t>TFR nel fondo</t>
  </si>
  <si>
    <t>TFR in azienda</t>
  </si>
  <si>
    <t>TFR in tasca</t>
  </si>
  <si>
    <t>Investito nel fondo</t>
  </si>
  <si>
    <t>Investito in azienda</t>
  </si>
  <si>
    <t>Investito in tasca</t>
  </si>
  <si>
    <t>Anni alla pensione</t>
  </si>
  <si>
    <t>Mi tengo</t>
  </si>
  <si>
    <t>Rendimento personale netto</t>
  </si>
  <si>
    <t>Inflazione</t>
  </si>
  <si>
    <t>Rendimento fondo pensione netto</t>
  </si>
  <si>
    <t>Scaglione</t>
  </si>
  <si>
    <t>Aliquota</t>
  </si>
  <si>
    <t>Base</t>
  </si>
  <si>
    <t>Rendimento TFR</t>
  </si>
  <si>
    <t>Percentuale contributo</t>
  </si>
  <si>
    <t>Contributo azienda</t>
  </si>
  <si>
    <t>Percentuale contributo azienda</t>
  </si>
  <si>
    <t>Tasse su stipendio</t>
  </si>
  <si>
    <t>Tasse su TFR</t>
  </si>
  <si>
    <t>Guadagno fondo</t>
  </si>
  <si>
    <t>Guadagno TFR</t>
  </si>
  <si>
    <t>Guadagno tasca</t>
  </si>
  <si>
    <t>Tassa fondo</t>
  </si>
  <si>
    <t>Tassa TFR</t>
  </si>
  <si>
    <t>Tassa tasca</t>
  </si>
  <si>
    <t>Netto fondo</t>
  </si>
  <si>
    <t>Netto TFR</t>
  </si>
  <si>
    <t>Netto tasca</t>
  </si>
  <si>
    <t>Totale</t>
  </si>
  <si>
    <t>Aliquota rendimento TFR</t>
  </si>
  <si>
    <t>Aliquota versato fondo pensione</t>
  </si>
  <si>
    <t>Percentuale TFR che deve andare nel fondo</t>
  </si>
  <si>
    <t>Aliquota marginale IRPEF</t>
  </si>
  <si>
    <t>Aliquota media IRPEF per TFR</t>
  </si>
  <si>
    <t>Aliquota rendimento investimenti</t>
  </si>
  <si>
    <r>
      <t xml:space="preserve">Rendimento personale </t>
    </r>
    <r>
      <rPr>
        <b/>
        <sz val="11"/>
        <color rgb="FFFF0000"/>
        <rFont val="Calibri"/>
        <family val="2"/>
        <scheme val="minor"/>
      </rPr>
      <t>lordo</t>
    </r>
  </si>
  <si>
    <t>anche il contributo del datore di lavoro è deducibile</t>
  </si>
  <si>
    <t>ELENCO MODIFICHE RISPETTO AL VIDEO al 26/3/2023</t>
  </si>
  <si>
    <t>sistemata cella B8 con il meno davanti (era irrilevante se deducibile non eccedeva il massimo)</t>
  </si>
  <si>
    <t>tolto 10,19% alla RAL quando determino lo scaglione per tenere conto che le tasse si pagano sulla RAL meno I contributi previdenziali obbligatori (sono andato un po' a spanne)</t>
  </si>
  <si>
    <t>tolto 0,2% dai rendimenti degli investimenti dato che il fondo pensione non ha l'imposta di bollo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</si>
</sst>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[$€-410]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9" fontId="0" fillId="0" borderId="0" xfId="0" applyNumberFormat="1"/>
    <xf numFmtId="1" fontId="0" fillId="0" borderId="0" xfId="0" applyNumberFormat="1"/>
    <xf numFmtId="1" fontId="0" fillId="4" borderId="0" xfId="0" applyNumberFormat="1" applyFill="1"/>
    <xf numFmtId="0" fontId="0" fillId="4" borderId="0" xfId="0" applyFill="1"/>
    <xf numFmtId="164" fontId="0" fillId="4" borderId="0" xfId="0" applyNumberFormat="1" applyFill="1"/>
    <xf numFmtId="1" fontId="0" fillId="2" borderId="0" xfId="0" applyNumberFormat="1" applyFill="1"/>
    <xf numFmtId="0" fontId="2" fillId="5" borderId="0" xfId="0" applyFont="1" applyFill="1"/>
    <xf numFmtId="1" fontId="0" fillId="5" borderId="0" xfId="0" applyNumberFormat="1" applyFill="1"/>
    <xf numFmtId="1" fontId="0" fillId="3" borderId="0" xfId="0" applyNumberFormat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 applyFill="1"/>
    <xf numFmtId="1" fontId="2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9" fontId="0" fillId="4" borderId="0" xfId="0" applyNumberFormat="1" applyFill="1"/>
    <xf numFmtId="0" fontId="3" fillId="0" borderId="0" xfId="0" applyFont="1"/>
    <xf numFmtId="2" fontId="0" fillId="0" borderId="0" xfId="0" applyNumberFormat="1"/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64317387712772E-2"/>
          <c:y val="3.8973204387605397E-2"/>
          <c:w val="0.88738805772412743"/>
          <c:h val="0.81463893909004725"/>
        </c:manualLayout>
      </c:layout>
      <c:scatterChart>
        <c:scatterStyle val="lineMarker"/>
        <c:varyColors val="0"/>
        <c:ser>
          <c:idx val="0"/>
          <c:order val="0"/>
          <c:tx>
            <c:strRef>
              <c:f>'Analisi con aliquota bloccata'!$G$1</c:f>
              <c:strCache>
                <c:ptCount val="1"/>
                <c:pt idx="0">
                  <c:v>Fondo pensione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'Analisi con aliquota bloccata'!$F$5:$F$34</c:f>
              <c:numCache>
                <c:formatCode>0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'Analisi con aliquota bloccata'!$G$5:$G$34</c:f>
              <c:numCache>
                <c:formatCode>0</c:formatCode>
                <c:ptCount val="30"/>
                <c:pt idx="0">
                  <c:v>2900.2049999999995</c:v>
                </c:pt>
                <c:pt idx="1">
                  <c:v>3013.1726624999997</c:v>
                </c:pt>
                <c:pt idx="2">
                  <c:v>3130.0941931874991</c:v>
                </c:pt>
                <c:pt idx="3">
                  <c:v>3251.1079774490613</c:v>
                </c:pt>
                <c:pt idx="4">
                  <c:v>3376.357244159778</c:v>
                </c:pt>
                <c:pt idx="5">
                  <c:v>3505.9902352053705</c:v>
                </c:pt>
                <c:pt idx="6">
                  <c:v>3640.1603809375583</c:v>
                </c:pt>
                <c:pt idx="7">
                  <c:v>3779.0264817703719</c:v>
                </c:pt>
                <c:pt idx="8">
                  <c:v>3922.7528961323342</c:v>
                </c:pt>
                <c:pt idx="9">
                  <c:v>4071.5097349969656</c:v>
                </c:pt>
                <c:pt idx="10">
                  <c:v>4225.4730632218598</c:v>
                </c:pt>
                <c:pt idx="11">
                  <c:v>4384.8251079346246</c:v>
                </c:pt>
                <c:pt idx="12">
                  <c:v>4549.7544742123355</c:v>
                </c:pt>
                <c:pt idx="13">
                  <c:v>4720.4563683097676</c:v>
                </c:pt>
                <c:pt idx="14">
                  <c:v>4897.132828700609</c:v>
                </c:pt>
                <c:pt idx="15">
                  <c:v>5079.9929652051287</c:v>
                </c:pt>
                <c:pt idx="16">
                  <c:v>5269.2532064873085</c:v>
                </c:pt>
                <c:pt idx="17">
                  <c:v>5465.1375562143639</c:v>
                </c:pt>
                <c:pt idx="18">
                  <c:v>5667.877858181866</c:v>
                </c:pt>
                <c:pt idx="19">
                  <c:v>5877.7140707182307</c:v>
                </c:pt>
                <c:pt idx="20">
                  <c:v>6094.8945506933669</c:v>
                </c:pt>
                <c:pt idx="21">
                  <c:v>6319.6763474676354</c:v>
                </c:pt>
                <c:pt idx="22">
                  <c:v>6552.3255071290023</c:v>
                </c:pt>
                <c:pt idx="23">
                  <c:v>6793.1173873785165</c:v>
                </c:pt>
                <c:pt idx="24">
                  <c:v>7042.3369834367631</c:v>
                </c:pt>
                <c:pt idx="25">
                  <c:v>7300.2792653570505</c:v>
                </c:pt>
                <c:pt idx="26">
                  <c:v>7567.2495271445468</c:v>
                </c:pt>
                <c:pt idx="27">
                  <c:v>7843.5637480946061</c:v>
                </c:pt>
                <c:pt idx="28">
                  <c:v>8129.5489667779157</c:v>
                </c:pt>
                <c:pt idx="29">
                  <c:v>8425.5436681151441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0F-4EA3-A052-DD59EBC6F82D}"/>
            </c:ext>
          </c:extLst>
        </c:ser>
        <c:ser>
          <c:idx val="1"/>
          <c:order val="1"/>
          <c:tx>
            <c:strRef>
              <c:f>'Analisi con aliquota bloccata'!$H$1</c:f>
              <c:strCache>
                <c:ptCount val="1"/>
                <c:pt idx="0">
                  <c:v>Tempo indeterminato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'Analisi con aliquota bloccata'!$F$5:$F$34</c:f>
              <c:numCache>
                <c:formatCode>0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'Analisi con aliquota bloccata'!$H$5:$H$34</c:f>
              <c:numCache>
                <c:formatCode>0</c:formatCode>
                <c:ptCount val="30"/>
                <c:pt idx="0">
                  <c:v>2113.4449522252503</c:v>
                </c:pt>
                <c:pt idx="1">
                  <c:v>2196.8255276940004</c:v>
                </c:pt>
                <c:pt idx="2">
                  <c:v>2283.3883349028288</c:v>
                </c:pt>
                <c:pt idx="3">
                  <c:v>2373.2553696296686</c:v>
                </c:pt>
                <c:pt idx="4">
                  <c:v>2466.5533302743329</c:v>
                </c:pt>
                <c:pt idx="5">
                  <c:v>2563.4138003402882</c:v>
                </c:pt>
                <c:pt idx="6">
                  <c:v>2663.9734380538944</c:v>
                </c:pt>
                <c:pt idx="7">
                  <c:v>2768.3741734029072</c:v>
                </c:pt>
                <c:pt idx="8">
                  <c:v>2876.7634128872692</c:v>
                </c:pt>
                <c:pt idx="9">
                  <c:v>2989.2942522869243</c:v>
                </c:pt>
                <c:pt idx="10">
                  <c:v>3106.1256977635576</c:v>
                </c:pt>
                <c:pt idx="11">
                  <c:v>3227.4228956258321</c:v>
                </c:pt>
                <c:pt idx="12">
                  <c:v>3353.3573711008621</c:v>
                </c:pt>
                <c:pt idx="13">
                  <c:v>3484.1072764683868</c:v>
                </c:pt>
                <c:pt idx="14">
                  <c:v>3619.8576489283582</c:v>
                </c:pt>
                <c:pt idx="15">
                  <c:v>3760.80067858752</c:v>
                </c:pt>
                <c:pt idx="16">
                  <c:v>3907.1359869659736</c:v>
                </c:pt>
                <c:pt idx="17">
                  <c:v>4059.0709164408336</c:v>
                </c:pt>
                <c:pt idx="18">
                  <c:v>4216.8208310607606</c:v>
                </c:pt>
                <c:pt idx="19">
                  <c:v>4380.6094291826039</c:v>
                </c:pt>
                <c:pt idx="20">
                  <c:v>4550.6690683994611</c:v>
                </c:pt>
                <c:pt idx="21">
                  <c:v>4727.2411032483342</c:v>
                </c:pt>
                <c:pt idx="22">
                  <c:v>4910.5762362051737</c:v>
                </c:pt>
                <c:pt idx="23">
                  <c:v>5100.9348824954823</c:v>
                </c:pt>
                <c:pt idx="24">
                  <c:v>5298.5875492699479</c:v>
                </c:pt>
                <c:pt idx="25">
                  <c:v>5503.8152297166434</c:v>
                </c:pt>
                <c:pt idx="26">
                  <c:v>5716.9098127043499</c:v>
                </c:pt>
                <c:pt idx="27">
                  <c:v>5938.1745085755247</c:v>
                </c:pt>
                <c:pt idx="28">
                  <c:v>6167.9242917323181</c:v>
                </c:pt>
                <c:pt idx="29">
                  <c:v>6406.4863606850886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0F-4EA3-A052-DD59EBC6F82D}"/>
            </c:ext>
          </c:extLst>
        </c:ser>
        <c:ser>
          <c:idx val="2"/>
          <c:order val="2"/>
          <c:tx>
            <c:strRef>
              <c:f>'Analisi con aliquota bloccata'!$I$1</c:f>
              <c:strCache>
                <c:ptCount val="1"/>
                <c:pt idx="0">
                  <c:v>Tempo determinato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'Analisi con aliquota bloccata'!$F$5:$F$34</c:f>
              <c:numCache>
                <c:formatCode>0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'Analisi con aliquota bloccata'!$I$5:$I$34</c:f>
              <c:numCache>
                <c:formatCode>0</c:formatCode>
                <c:ptCount val="30"/>
                <c:pt idx="0">
                  <c:v>2130.7193384320617</c:v>
                </c:pt>
                <c:pt idx="1">
                  <c:v>2232.9938666768012</c:v>
                </c:pt>
                <c:pt idx="2">
                  <c:v>2340.1775722772877</c:v>
                </c:pt>
                <c:pt idx="3">
                  <c:v>2452.506095746598</c:v>
                </c:pt>
                <c:pt idx="4">
                  <c:v>2570.2263883424348</c:v>
                </c:pt>
                <c:pt idx="5">
                  <c:v>2693.5972549828721</c:v>
                </c:pt>
                <c:pt idx="6">
                  <c:v>2822.8899232220497</c:v>
                </c:pt>
                <c:pt idx="7">
                  <c:v>2958.3886395367085</c:v>
                </c:pt>
                <c:pt idx="8">
                  <c:v>3100.3912942344709</c:v>
                </c:pt>
                <c:pt idx="9">
                  <c:v>3249.2100763577259</c:v>
                </c:pt>
                <c:pt idx="10">
                  <c:v>3405.1721600228966</c:v>
                </c:pt>
                <c:pt idx="11">
                  <c:v>3568.6204237039965</c:v>
                </c:pt>
                <c:pt idx="12">
                  <c:v>3739.9142040417883</c:v>
                </c:pt>
                <c:pt idx="13">
                  <c:v>3919.4300858357947</c:v>
                </c:pt>
                <c:pt idx="14">
                  <c:v>4107.5627299559128</c:v>
                </c:pt>
                <c:pt idx="15">
                  <c:v>4304.7257409937984</c:v>
                </c:pt>
                <c:pt idx="16">
                  <c:v>4511.3525765615004</c:v>
                </c:pt>
                <c:pt idx="17">
                  <c:v>4727.8975002364532</c:v>
                </c:pt>
                <c:pt idx="18">
                  <c:v>4954.836580247802</c:v>
                </c:pt>
                <c:pt idx="19">
                  <c:v>5192.6687360996984</c:v>
                </c:pt>
                <c:pt idx="20">
                  <c:v>5441.9168354324838</c:v>
                </c:pt>
                <c:pt idx="21">
                  <c:v>5703.1288435332444</c:v>
                </c:pt>
                <c:pt idx="22">
                  <c:v>5976.8790280228395</c:v>
                </c:pt>
                <c:pt idx="23">
                  <c:v>6263.7692213679375</c:v>
                </c:pt>
                <c:pt idx="24">
                  <c:v>6564.430143993598</c:v>
                </c:pt>
                <c:pt idx="25">
                  <c:v>6879.522790905291</c:v>
                </c:pt>
                <c:pt idx="26">
                  <c:v>7209.7398848687453</c:v>
                </c:pt>
                <c:pt idx="27">
                  <c:v>7555.8073993424478</c:v>
                </c:pt>
                <c:pt idx="28">
                  <c:v>7918.4861545108852</c:v>
                </c:pt>
                <c:pt idx="29">
                  <c:v>8298.5734899274084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20F-4EA3-A052-DD59EBC6F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3390144"/>
        <c:axId val="653393384"/>
      </c:scatterChart>
      <c:valAx>
        <c:axId val="653390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393384"/>
        <c:crosses val="autoZero"/>
        <c:crossBetween val="midCat"/>
      </c:valAx>
      <c:valAx>
        <c:axId val="65339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39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490909</xdr:colOff>
      <xdr:row>18</xdr:row>
      <xdr:rowOff>16848</xdr:rowOff>
    </xdr:from>
    <xdr:to>
      <xdr:col>16</xdr:col>
      <xdr:colOff>542196</xdr:colOff>
      <xdr:row>38</xdr:row>
      <xdr:rowOff>117227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99037A-5608-03BB-2F48-F18F7AE8B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80C4-F45A-4007-833C-6DFA29C87DD0}">
  <dimension ref="A1:A5"/>
  <sheetViews>
    <sheetView tabSelected="1" zoomScale="200" zoomScaleNormal="200" workbookViewId="0">
      <selection activeCell="A6" sqref="A6"/>
    </sheetView>
  </sheetViews>
  <sheetFormatPr defaultRowHeight="15" x14ac:dyDescent="0.25"/>
  <sheetData>
    <row r="1" spans="1:1" x14ac:dyDescent="0.25">
      <c r="A1" s="21" t="s">
        <v>43</v>
      </c>
    </row>
    <row r="2" spans="1:1" x14ac:dyDescent="0.25">
      <c r="A2" t="s">
        <v>42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BAA3-F59E-4F9D-A198-3E203BAB1FD7}">
  <dimension ref="A1:P34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5" sqref="B15:D15"/>
    </sheetView>
  </sheetViews>
  <sheetFormatPr defaultRowHeight="15" x14ac:dyDescent="0.25"/>
  <cols>
    <col min="1" max="1" width="18.5703125" bestFit="1" customWidth="1"/>
    <col min="2" max="2" width="9.28515625" bestFit="1" customWidth="1"/>
    <col min="3" max="3" width="14" bestFit="1" customWidth="1"/>
    <col min="4" max="4" width="12.140625" bestFit="1" customWidth="1"/>
    <col min="7" max="7" width="14.85546875" style="5" customWidth="1"/>
    <col min="8" max="9" width="14.85546875" customWidth="1"/>
    <col min="11" max="11" width="39.28515625" bestFit="1" customWidth="1"/>
    <col min="12" max="12" width="7.5703125" bestFit="1" customWidth="1"/>
    <col min="13" max="13" width="5.85546875" customWidth="1"/>
  </cols>
  <sheetData>
    <row r="1" spans="1:16" s="14" customFormat="1" ht="32.25" customHeight="1" x14ac:dyDescent="0.25">
      <c r="A1" s="13"/>
      <c r="B1" s="15" t="s">
        <v>0</v>
      </c>
      <c r="C1" s="15" t="s">
        <v>1</v>
      </c>
      <c r="D1" s="15" t="s">
        <v>2</v>
      </c>
      <c r="G1" s="18" t="s">
        <v>0</v>
      </c>
      <c r="H1" s="15" t="s">
        <v>1</v>
      </c>
      <c r="I1" s="15" t="s">
        <v>2</v>
      </c>
    </row>
    <row r="2" spans="1:16" x14ac:dyDescent="0.25">
      <c r="A2" s="1" t="s">
        <v>4</v>
      </c>
      <c r="B2" s="5">
        <f>L2*L4</f>
        <v>350</v>
      </c>
      <c r="C2" s="5"/>
      <c r="D2" s="5"/>
      <c r="G2" s="19"/>
      <c r="H2" s="19"/>
      <c r="I2" s="19"/>
      <c r="K2" s="1" t="s">
        <v>3</v>
      </c>
      <c r="L2" s="6">
        <v>35000</v>
      </c>
      <c r="N2" t="s">
        <v>16</v>
      </c>
      <c r="O2" t="s">
        <v>18</v>
      </c>
      <c r="P2" t="s">
        <v>17</v>
      </c>
    </row>
    <row r="3" spans="1:16" x14ac:dyDescent="0.25">
      <c r="A3" s="1" t="s">
        <v>12</v>
      </c>
      <c r="B3" s="5"/>
      <c r="C3" s="5">
        <f>B2</f>
        <v>350</v>
      </c>
      <c r="D3" s="5">
        <f>B2</f>
        <v>350</v>
      </c>
      <c r="K3" s="1" t="s">
        <v>11</v>
      </c>
      <c r="L3" s="7">
        <v>30</v>
      </c>
      <c r="N3">
        <v>0</v>
      </c>
      <c r="O3">
        <v>0</v>
      </c>
      <c r="P3" s="4">
        <v>0</v>
      </c>
    </row>
    <row r="4" spans="1:16" x14ac:dyDescent="0.25">
      <c r="A4" s="1" t="s">
        <v>21</v>
      </c>
      <c r="B4" s="5">
        <f>L5*L2</f>
        <v>350</v>
      </c>
      <c r="C4" s="5"/>
      <c r="D4" s="5"/>
      <c r="F4" s="5"/>
      <c r="G4" s="5">
        <f>B22</f>
        <v>8425.5436681151441</v>
      </c>
      <c r="H4" s="5">
        <f t="shared" ref="H4:I4" si="0">C22</f>
        <v>6406.4863606850886</v>
      </c>
      <c r="I4" s="5">
        <f t="shared" si="0"/>
        <v>8298.5734899274084</v>
      </c>
      <c r="K4" s="1" t="s">
        <v>20</v>
      </c>
      <c r="L4" s="8">
        <v>0.01</v>
      </c>
      <c r="N4">
        <v>15000</v>
      </c>
      <c r="O4">
        <v>0</v>
      </c>
      <c r="P4" s="4">
        <v>0.23</v>
      </c>
    </row>
    <row r="5" spans="1:16" x14ac:dyDescent="0.25">
      <c r="A5" s="2" t="s">
        <v>5</v>
      </c>
      <c r="B5" s="9">
        <f>L2*6.91%*$L$6</f>
        <v>2418.5</v>
      </c>
      <c r="C5" s="9"/>
      <c r="D5" s="9"/>
      <c r="F5" s="5">
        <v>1</v>
      </c>
      <c r="G5" s="5">
        <f t="dataTable" ref="G5:I34" dt2D="0" dtr="0" r1="L3"/>
        <v>2759.8724999999995</v>
      </c>
      <c r="H5" s="5">
        <v>2113.4449522252503</v>
      </c>
      <c r="I5" s="5">
        <v>2130.7193384320617</v>
      </c>
      <c r="K5" s="1" t="s">
        <v>22</v>
      </c>
      <c r="L5" s="8">
        <v>0.01</v>
      </c>
      <c r="N5">
        <v>28000</v>
      </c>
      <c r="O5">
        <f>P4*(N4-N3)+O4</f>
        <v>3450</v>
      </c>
      <c r="P5" s="4">
        <v>0.25</v>
      </c>
    </row>
    <row r="6" spans="1:16" x14ac:dyDescent="0.25">
      <c r="A6" s="2" t="s">
        <v>6</v>
      </c>
      <c r="B6" s="9">
        <f>L2/13.5*(100%-$L$6)</f>
        <v>0</v>
      </c>
      <c r="C6" s="9">
        <f>$L$2*6.91%</f>
        <v>2418.5</v>
      </c>
      <c r="D6" s="9"/>
      <c r="F6" s="5">
        <v>2</v>
      </c>
      <c r="G6" s="5">
        <v>2872.8401624999997</v>
      </c>
      <c r="H6" s="5">
        <v>2196.8255276940004</v>
      </c>
      <c r="I6" s="5">
        <v>2232.9938666768012</v>
      </c>
      <c r="K6" s="1" t="s">
        <v>37</v>
      </c>
      <c r="L6" s="8">
        <v>1</v>
      </c>
      <c r="N6">
        <v>50000</v>
      </c>
      <c r="O6">
        <f>P5*(N5-N4)+O5</f>
        <v>6700</v>
      </c>
      <c r="P6" s="4">
        <v>0.35</v>
      </c>
    </row>
    <row r="7" spans="1:16" x14ac:dyDescent="0.25">
      <c r="A7" s="2" t="s">
        <v>7</v>
      </c>
      <c r="B7" s="9"/>
      <c r="C7" s="9"/>
      <c r="D7" s="9">
        <f>L2*6.91%</f>
        <v>2418.5</v>
      </c>
      <c r="F7" s="5">
        <v>3</v>
      </c>
      <c r="G7" s="5">
        <v>2989.7616931874991</v>
      </c>
      <c r="H7" s="5">
        <v>2283.3883349028288</v>
      </c>
      <c r="I7" s="5">
        <v>2340.1775722772877</v>
      </c>
      <c r="O7">
        <f>P6*(N6-N5)+O6</f>
        <v>14400</v>
      </c>
      <c r="P7" s="4">
        <v>0.43</v>
      </c>
    </row>
    <row r="8" spans="1:16" x14ac:dyDescent="0.25">
      <c r="A8" s="10" t="s">
        <v>23</v>
      </c>
      <c r="B8" s="11">
        <f>-MAX((B2+B4-5164.57)*L15,0)</f>
        <v>0</v>
      </c>
      <c r="C8" s="11">
        <f>-C3*$L$15-B4*$L$15</f>
        <v>-244.99999999999997</v>
      </c>
      <c r="D8" s="11">
        <f>-D3*$L$15-B4*$L$15</f>
        <v>-244.99999999999997</v>
      </c>
      <c r="F8" s="5">
        <v>4</v>
      </c>
      <c r="G8" s="5">
        <v>3110.7754774490613</v>
      </c>
      <c r="H8" s="5">
        <v>2373.2553696296686</v>
      </c>
      <c r="I8" s="5">
        <v>2452.506095746598</v>
      </c>
      <c r="K8" s="1" t="s">
        <v>14</v>
      </c>
      <c r="L8" s="8">
        <v>0.03</v>
      </c>
    </row>
    <row r="9" spans="1:16" x14ac:dyDescent="0.25">
      <c r="A9" s="10" t="s">
        <v>24</v>
      </c>
      <c r="B9" s="11"/>
      <c r="C9" s="11"/>
      <c r="D9" s="11">
        <f>-L16*D7</f>
        <v>-490.3708602747501</v>
      </c>
      <c r="F9" s="5">
        <v>5</v>
      </c>
      <c r="G9" s="5">
        <v>3236.024744159778</v>
      </c>
      <c r="H9" s="5">
        <v>2466.5533302743329</v>
      </c>
      <c r="I9" s="5">
        <v>2570.2263883424348</v>
      </c>
      <c r="K9" s="1" t="s">
        <v>15</v>
      </c>
      <c r="L9" s="8">
        <v>3.5000000000000003E-2</v>
      </c>
    </row>
    <row r="10" spans="1:16" x14ac:dyDescent="0.25">
      <c r="A10" s="3" t="s">
        <v>8</v>
      </c>
      <c r="B10" s="12">
        <f>B2+B4+B5</f>
        <v>3118.5</v>
      </c>
      <c r="C10" s="12"/>
      <c r="D10" s="12"/>
      <c r="F10" s="5">
        <v>6</v>
      </c>
      <c r="G10" s="5">
        <v>3365.6577352053705</v>
      </c>
      <c r="H10" s="5">
        <v>2563.4138003402882</v>
      </c>
      <c r="I10" s="5">
        <v>2693.5972549828721</v>
      </c>
      <c r="K10" s="1" t="s">
        <v>13</v>
      </c>
      <c r="L10" s="8">
        <v>0.05</v>
      </c>
    </row>
    <row r="11" spans="1:16" x14ac:dyDescent="0.25">
      <c r="A11" s="3" t="s">
        <v>9</v>
      </c>
      <c r="B11" s="12">
        <f>B6</f>
        <v>0</v>
      </c>
      <c r="C11" s="12">
        <f>C6</f>
        <v>2418.5</v>
      </c>
      <c r="D11" s="12"/>
      <c r="F11" s="5">
        <v>7</v>
      </c>
      <c r="G11" s="5">
        <v>3499.8278809375583</v>
      </c>
      <c r="H11" s="5">
        <v>2663.9734380538944</v>
      </c>
      <c r="I11" s="5">
        <v>2822.8899232220497</v>
      </c>
    </row>
    <row r="12" spans="1:16" x14ac:dyDescent="0.25">
      <c r="A12" s="3" t="s">
        <v>10</v>
      </c>
      <c r="B12" s="12">
        <f>B3+B8+B7+B9</f>
        <v>0</v>
      </c>
      <c r="C12" s="12">
        <f>C3+C8+C7+C9</f>
        <v>105.00000000000003</v>
      </c>
      <c r="D12" s="12">
        <f>D3+D8+D7+D9</f>
        <v>2033.1291397252498</v>
      </c>
      <c r="F12" s="5">
        <v>8</v>
      </c>
      <c r="G12" s="5">
        <v>3638.6939817703719</v>
      </c>
      <c r="H12" s="5">
        <v>2768.3741734029072</v>
      </c>
      <c r="I12" s="5">
        <v>2958.3886395367085</v>
      </c>
      <c r="K12" s="1" t="s">
        <v>19</v>
      </c>
      <c r="L12" s="16">
        <f>1.5%+0.75*L8</f>
        <v>3.7499999999999999E-2</v>
      </c>
    </row>
    <row r="13" spans="1:16" x14ac:dyDescent="0.25">
      <c r="A13" s="2" t="s">
        <v>25</v>
      </c>
      <c r="B13" s="9">
        <f>B10*(1+$L$9)^$L$3-B10</f>
        <v>5634.4861681151433</v>
      </c>
      <c r="C13" s="9"/>
      <c r="D13" s="9"/>
      <c r="F13" s="5">
        <v>9</v>
      </c>
      <c r="G13" s="5">
        <v>3782.4203961323342</v>
      </c>
      <c r="H13" s="5">
        <v>2876.7634128872692</v>
      </c>
      <c r="I13" s="5">
        <v>3100.3912942344709</v>
      </c>
      <c r="K13" s="1" t="s">
        <v>36</v>
      </c>
      <c r="L13" s="16">
        <f>MAX(9%,15%-0.3%*MAX(0,L3-15))</f>
        <v>0.105</v>
      </c>
    </row>
    <row r="14" spans="1:16" x14ac:dyDescent="0.25">
      <c r="A14" s="2" t="s">
        <v>26</v>
      </c>
      <c r="B14" s="9">
        <f>B11*(1+$L$12)^$L$3-B11</f>
        <v>0</v>
      </c>
      <c r="C14" s="9">
        <f>C11*(1+$L$12)^$L$3-C11</f>
        <v>4879.2545647106563</v>
      </c>
      <c r="D14" s="9"/>
      <c r="F14" s="5">
        <v>10</v>
      </c>
      <c r="G14" s="5">
        <v>3931.1772349969656</v>
      </c>
      <c r="H14" s="5">
        <v>2989.2942522869243</v>
      </c>
      <c r="I14" s="5">
        <v>3249.2100763577259</v>
      </c>
      <c r="K14" s="1" t="s">
        <v>35</v>
      </c>
      <c r="L14" s="4">
        <v>0.17</v>
      </c>
    </row>
    <row r="15" spans="1:16" x14ac:dyDescent="0.25">
      <c r="A15" s="2" t="s">
        <v>27</v>
      </c>
      <c r="B15" s="9">
        <f>B12*(1+$L$10-0.2%)^$L$3-B12</f>
        <v>0</v>
      </c>
      <c r="C15" s="9">
        <f t="shared" ref="C15:D15" si="1">C12*(1+$L$10-0.2%)^$L$3-C12</f>
        <v>323.57593224999437</v>
      </c>
      <c r="D15" s="9">
        <f t="shared" si="1"/>
        <v>6265.4443502021586</v>
      </c>
      <c r="F15" s="5">
        <v>11</v>
      </c>
      <c r="G15" s="5">
        <v>4085.1405632218598</v>
      </c>
      <c r="H15" s="5">
        <v>3106.1256977635576</v>
      </c>
      <c r="I15" s="5">
        <v>3405.1721600228966</v>
      </c>
      <c r="K15" s="1" t="s">
        <v>38</v>
      </c>
      <c r="L15" s="4" cm="1">
        <f t="array" ref="L15">INDEX(P2:P7,MATCH(L2*(100%-10.19%),N2:N7,1)+1)</f>
        <v>0.35</v>
      </c>
    </row>
    <row r="16" spans="1:16" x14ac:dyDescent="0.25">
      <c r="A16" s="10" t="s">
        <v>28</v>
      </c>
      <c r="B16" s="11">
        <f>-B10*$L$13-B8</f>
        <v>-327.4425</v>
      </c>
      <c r="C16" s="11"/>
      <c r="D16" s="11"/>
      <c r="F16" s="5">
        <v>12</v>
      </c>
      <c r="G16" s="5">
        <v>4244.4926079346251</v>
      </c>
      <c r="H16" s="5">
        <v>3227.4228956258321</v>
      </c>
      <c r="I16" s="5">
        <v>3568.6204237039965</v>
      </c>
      <c r="K16" s="1" t="s">
        <v>39</v>
      </c>
      <c r="L16" s="17" cm="1">
        <f t="array" ref="L16">(INDEX(O2:O7,MATCH(L2*(100%-10.19%),N2:N7,1)+1)+INDEX(P2:P7,MATCH(L2*(100%-10.19%),N2:N7,1)+1)*(L2*(100%-10.19%)-INDEX(N2:N7,MATCH(L2*(100%-10.19%),N2:N7,1))))/L2*(100%-10.19%)</f>
        <v>0.20275826350000004</v>
      </c>
    </row>
    <row r="17" spans="1:9" x14ac:dyDescent="0.25">
      <c r="A17" s="10" t="s">
        <v>29</v>
      </c>
      <c r="B17" s="11">
        <f>-$L$14*B14-B11*$L$16</f>
        <v>0</v>
      </c>
      <c r="C17" s="11">
        <f>-$L$14*C14-C11*$L$16</f>
        <v>-1319.8441362755618</v>
      </c>
      <c r="D17" s="11"/>
      <c r="F17" s="5">
        <v>13</v>
      </c>
      <c r="G17" s="5">
        <v>4409.421974212336</v>
      </c>
      <c r="H17" s="5">
        <v>3353.3573711008621</v>
      </c>
      <c r="I17" s="5">
        <v>3739.9142040417883</v>
      </c>
    </row>
    <row r="18" spans="1:9" x14ac:dyDescent="0.25">
      <c r="A18" s="10" t="s">
        <v>30</v>
      </c>
      <c r="B18" s="11">
        <v>0</v>
      </c>
      <c r="C18" s="11">
        <v>0</v>
      </c>
      <c r="D18" s="11">
        <v>0</v>
      </c>
      <c r="F18" s="5">
        <v>14</v>
      </c>
      <c r="G18" s="5">
        <v>4580.1238683097681</v>
      </c>
      <c r="H18" s="5">
        <v>3484.1072764683868</v>
      </c>
      <c r="I18" s="5">
        <v>3919.4300858357947</v>
      </c>
    </row>
    <row r="19" spans="1:9" x14ac:dyDescent="0.25">
      <c r="A19" s="1" t="s">
        <v>31</v>
      </c>
      <c r="B19" s="5">
        <f>B10+B13+B16</f>
        <v>8425.5436681151441</v>
      </c>
      <c r="C19" s="5"/>
      <c r="D19" s="5"/>
      <c r="F19" s="5">
        <v>15</v>
      </c>
      <c r="G19" s="5">
        <v>4756.8003287006095</v>
      </c>
      <c r="H19" s="5">
        <v>3619.8576489283582</v>
      </c>
      <c r="I19" s="5">
        <v>4107.5627299559128</v>
      </c>
    </row>
    <row r="20" spans="1:9" x14ac:dyDescent="0.25">
      <c r="A20" s="1" t="s">
        <v>32</v>
      </c>
      <c r="B20" s="5">
        <f>B11+B14+B17</f>
        <v>0</v>
      </c>
      <c r="C20" s="5">
        <f>C11+C14+C17</f>
        <v>5977.9104284350942</v>
      </c>
      <c r="D20" s="5"/>
      <c r="F20" s="5">
        <v>16</v>
      </c>
      <c r="G20" s="5">
        <v>4949.0159652051289</v>
      </c>
      <c r="H20" s="5">
        <v>3760.80067858752</v>
      </c>
      <c r="I20" s="5">
        <v>4304.7257409937984</v>
      </c>
    </row>
    <row r="21" spans="1:9" x14ac:dyDescent="0.25">
      <c r="A21" s="1" t="s">
        <v>33</v>
      </c>
      <c r="B21" s="5">
        <f t="shared" ref="B21:C21" si="2">B12+B15+B18</f>
        <v>0</v>
      </c>
      <c r="C21" s="5">
        <f t="shared" si="2"/>
        <v>428.57593224999437</v>
      </c>
      <c r="D21" s="5">
        <f>D12+D15+D18</f>
        <v>8298.5734899274084</v>
      </c>
      <c r="F21" s="5">
        <v>17</v>
      </c>
      <c r="G21" s="5">
        <v>5147.6317064873083</v>
      </c>
      <c r="H21" s="5">
        <v>3907.1359869659736</v>
      </c>
      <c r="I21" s="5">
        <v>4511.3525765615004</v>
      </c>
    </row>
    <row r="22" spans="1:9" x14ac:dyDescent="0.25">
      <c r="A22" s="1" t="s">
        <v>34</v>
      </c>
      <c r="B22" s="5">
        <f>SUM(B19:B21)</f>
        <v>8425.5436681151441</v>
      </c>
      <c r="C22" s="5">
        <f t="shared" ref="C22:D22" si="3">SUM(C19:C21)</f>
        <v>6406.4863606850886</v>
      </c>
      <c r="D22" s="5">
        <f t="shared" si="3"/>
        <v>8298.5734899274084</v>
      </c>
      <c r="F22" s="5">
        <v>18</v>
      </c>
      <c r="G22" s="5">
        <v>5352.8715562143643</v>
      </c>
      <c r="H22" s="5">
        <v>4059.0709164408336</v>
      </c>
      <c r="I22" s="5">
        <v>4727.8975002364532</v>
      </c>
    </row>
    <row r="23" spans="1:9" x14ac:dyDescent="0.25">
      <c r="F23" s="5">
        <v>19</v>
      </c>
      <c r="G23" s="5">
        <v>5564.9673581818661</v>
      </c>
      <c r="H23" s="5">
        <v>4216.8208310607606</v>
      </c>
      <c r="I23" s="5">
        <v>4954.836580247802</v>
      </c>
    </row>
    <row r="24" spans="1:9" x14ac:dyDescent="0.25">
      <c r="F24" s="5">
        <v>20</v>
      </c>
      <c r="G24" s="5">
        <v>5784.1590707182304</v>
      </c>
      <c r="H24" s="5">
        <v>4380.6094291826039</v>
      </c>
      <c r="I24" s="5">
        <v>5192.6687360996984</v>
      </c>
    </row>
    <row r="25" spans="1:9" x14ac:dyDescent="0.25">
      <c r="F25" s="5">
        <v>21</v>
      </c>
      <c r="G25" s="5">
        <v>6010.6950506933672</v>
      </c>
      <c r="H25" s="5">
        <v>4550.6690683994611</v>
      </c>
      <c r="I25" s="5">
        <v>5441.9168354324838</v>
      </c>
    </row>
    <row r="26" spans="1:9" x14ac:dyDescent="0.25">
      <c r="F26" s="5">
        <v>22</v>
      </c>
      <c r="G26" s="5">
        <v>6244.8323474676354</v>
      </c>
      <c r="H26" s="5">
        <v>4727.2411032483342</v>
      </c>
      <c r="I26" s="5">
        <v>5703.1288435332444</v>
      </c>
    </row>
    <row r="27" spans="1:9" x14ac:dyDescent="0.25">
      <c r="F27" s="5">
        <v>23</v>
      </c>
      <c r="G27" s="5">
        <v>6486.8370071290028</v>
      </c>
      <c r="H27" s="5">
        <v>4910.5762362051737</v>
      </c>
      <c r="I27" s="5">
        <v>5976.8790280228395</v>
      </c>
    </row>
    <row r="28" spans="1:9" x14ac:dyDescent="0.25">
      <c r="F28" s="5">
        <v>24</v>
      </c>
      <c r="G28" s="5">
        <v>6736.9843873785167</v>
      </c>
      <c r="H28" s="5">
        <v>5100.9348824954823</v>
      </c>
      <c r="I28" s="5">
        <v>6263.7692213679375</v>
      </c>
    </row>
    <row r="29" spans="1:9" x14ac:dyDescent="0.25">
      <c r="F29" s="5">
        <v>25</v>
      </c>
      <c r="G29" s="5">
        <v>6995.559483436763</v>
      </c>
      <c r="H29" s="5">
        <v>5298.5875492699479</v>
      </c>
      <c r="I29" s="5">
        <v>6564.430143993598</v>
      </c>
    </row>
    <row r="30" spans="1:9" x14ac:dyDescent="0.25">
      <c r="F30" s="5">
        <v>26</v>
      </c>
      <c r="G30" s="5">
        <v>7262.8572653570509</v>
      </c>
      <c r="H30" s="5">
        <v>5503.8152297166434</v>
      </c>
      <c r="I30" s="5">
        <v>6879.522790905291</v>
      </c>
    </row>
    <row r="31" spans="1:9" x14ac:dyDescent="0.25">
      <c r="F31" s="5">
        <v>27</v>
      </c>
      <c r="G31" s="5">
        <v>7539.1830271445469</v>
      </c>
      <c r="H31" s="5">
        <v>5716.9098127043499</v>
      </c>
      <c r="I31" s="5">
        <v>7209.7398848687453</v>
      </c>
    </row>
    <row r="32" spans="1:9" x14ac:dyDescent="0.25">
      <c r="F32" s="5">
        <v>28</v>
      </c>
      <c r="G32" s="5">
        <v>7824.8527480946059</v>
      </c>
      <c r="H32" s="5">
        <v>5938.1745085755247</v>
      </c>
      <c r="I32" s="5">
        <v>7555.8073993424478</v>
      </c>
    </row>
    <row r="33" spans="6:9" x14ac:dyDescent="0.25">
      <c r="F33" s="5">
        <v>29</v>
      </c>
      <c r="G33" s="5">
        <v>8120.193466777916</v>
      </c>
      <c r="H33" s="5">
        <v>6167.9242917323181</v>
      </c>
      <c r="I33" s="5">
        <v>7918.4861545108852</v>
      </c>
    </row>
    <row r="34" spans="6:9" x14ac:dyDescent="0.25">
      <c r="F34" s="5">
        <v>30</v>
      </c>
      <c r="G34" s="5">
        <v>8425.5436681151441</v>
      </c>
      <c r="H34" s="5">
        <v>6406.4863606850886</v>
      </c>
      <c r="I34" s="5">
        <v>8298.5734899274084</v>
      </c>
    </row>
  </sheetData>
  <conditionalFormatting sqref="B22:D22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{AB034073-91DE-4509-BA41-EE2AB02FD1A5}</x14:id>
        </ext>
      </extLst>
    </cfRule>
  </conditionalFormatting>
  <conditionalFormatting sqref="G2:I2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{117C2164-64BA-41DA-8EF0-5F271AAA2C81}</x14:id>
        </ext>
      </extLst>
    </cfRule>
  </conditionalFormatting>
  <conditionalFormatting sqref="L5">
    <cfRule type="cellIs" dxfId="3" priority="1" operator="greaterThan">
      <formula>$L$4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034073-91DE-4509-BA41-EE2AB02FD1A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B22:D22</xm:sqref>
        </x14:conditionalFormatting>
        <x14:conditionalFormatting xmlns:xm="http://schemas.microsoft.com/office/excel/2006/main">
          <x14:cfRule type="dataBar" id="{117C2164-64BA-41DA-8EF0-5F271AAA2C8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G2:I2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CEB0-3A70-42FD-BF42-3803424DA592}">
  <dimension ref="A1:P34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5" sqref="B15:D15"/>
    </sheetView>
  </sheetViews>
  <sheetFormatPr defaultRowHeight="15" x14ac:dyDescent="0.25"/>
  <cols>
    <col min="1" max="1" width="18.5703125" bestFit="1" customWidth="1"/>
    <col min="2" max="2" width="9.28515625" bestFit="1" customWidth="1"/>
    <col min="3" max="3" width="14" bestFit="1" customWidth="1"/>
    <col min="4" max="4" width="12.140625" bestFit="1" customWidth="1"/>
    <col min="6" max="6" width="9.140625" customWidth="1"/>
    <col min="7" max="7" width="14.85546875" style="5" customWidth="1"/>
    <col min="8" max="9" width="14.85546875" customWidth="1"/>
    <col min="10" max="10" width="9.140625" customWidth="1"/>
    <col min="11" max="11" width="39.28515625" bestFit="1" customWidth="1"/>
    <col min="12" max="12" width="7.5703125" bestFit="1" customWidth="1"/>
    <col min="13" max="13" width="5.85546875" customWidth="1"/>
  </cols>
  <sheetData>
    <row r="1" spans="1:16" s="14" customFormat="1" ht="32.25" customHeight="1" x14ac:dyDescent="0.25">
      <c r="A1" s="13"/>
      <c r="B1" s="15" t="s">
        <v>0</v>
      </c>
      <c r="C1" s="15" t="s">
        <v>1</v>
      </c>
      <c r="D1" s="15" t="s">
        <v>2</v>
      </c>
      <c r="G1" s="18" t="s">
        <v>0</v>
      </c>
      <c r="H1" s="15" t="s">
        <v>1</v>
      </c>
      <c r="I1" s="15" t="s">
        <v>2</v>
      </c>
    </row>
    <row r="2" spans="1:16" x14ac:dyDescent="0.25">
      <c r="A2" s="1" t="s">
        <v>4</v>
      </c>
      <c r="B2" s="5">
        <f>L2*L4</f>
        <v>350</v>
      </c>
      <c r="C2" s="5"/>
      <c r="D2" s="5"/>
      <c r="G2" s="19">
        <f>SUM(G5:G34)</f>
        <v>156796.53025711956</v>
      </c>
      <c r="H2" s="19">
        <f t="shared" ref="H2:I2" si="0">SUM(H5:H34)</f>
        <v>116731.91436685435</v>
      </c>
      <c r="I2" s="19">
        <f t="shared" si="0"/>
        <v>136795.53497941353</v>
      </c>
      <c r="K2" s="1" t="s">
        <v>3</v>
      </c>
      <c r="L2" s="6">
        <v>35000</v>
      </c>
      <c r="N2" t="s">
        <v>16</v>
      </c>
      <c r="O2" t="s">
        <v>18</v>
      </c>
      <c r="P2" t="s">
        <v>17</v>
      </c>
    </row>
    <row r="3" spans="1:16" x14ac:dyDescent="0.25">
      <c r="A3" s="1" t="s">
        <v>12</v>
      </c>
      <c r="B3" s="5"/>
      <c r="C3" s="5">
        <f>B2</f>
        <v>350</v>
      </c>
      <c r="D3" s="5">
        <f>B2</f>
        <v>350</v>
      </c>
      <c r="K3" s="1" t="s">
        <v>11</v>
      </c>
      <c r="L3" s="7">
        <v>30</v>
      </c>
      <c r="N3">
        <v>0</v>
      </c>
      <c r="O3">
        <v>0</v>
      </c>
      <c r="P3" s="4">
        <v>0</v>
      </c>
    </row>
    <row r="4" spans="1:16" x14ac:dyDescent="0.25">
      <c r="A4" s="1" t="s">
        <v>21</v>
      </c>
      <c r="B4" s="5">
        <f>L5*L2</f>
        <v>350</v>
      </c>
      <c r="C4" s="5"/>
      <c r="D4" s="5"/>
      <c r="F4" s="5"/>
      <c r="G4" s="5">
        <f>B22</f>
        <v>8425.5436681151441</v>
      </c>
      <c r="H4" s="5">
        <f t="shared" ref="H4:I4" si="1">C22</f>
        <v>6406.4863606850886</v>
      </c>
      <c r="I4" s="5">
        <f t="shared" si="1"/>
        <v>8298.5734899274084</v>
      </c>
      <c r="K4" s="1" t="s">
        <v>20</v>
      </c>
      <c r="L4" s="8">
        <v>0.01</v>
      </c>
      <c r="N4">
        <v>15000</v>
      </c>
      <c r="O4">
        <v>0</v>
      </c>
      <c r="P4" s="4">
        <v>0.23</v>
      </c>
    </row>
    <row r="5" spans="1:16" x14ac:dyDescent="0.25">
      <c r="A5" s="2" t="s">
        <v>5</v>
      </c>
      <c r="B5" s="9">
        <f>L2*6.91%*$L$6</f>
        <v>2418.5</v>
      </c>
      <c r="C5" s="9"/>
      <c r="D5" s="9"/>
      <c r="F5" s="5">
        <v>1</v>
      </c>
      <c r="G5" s="5">
        <f t="dataTable" ref="G5:I34" dt2D="0" dtr="0" r1="L3"/>
        <v>2900.2049999999995</v>
      </c>
      <c r="H5" s="5">
        <v>2113.4449522252503</v>
      </c>
      <c r="I5" s="5">
        <v>2130.7193384320617</v>
      </c>
      <c r="K5" s="1" t="s">
        <v>22</v>
      </c>
      <c r="L5" s="8">
        <v>0.01</v>
      </c>
      <c r="N5">
        <v>28000</v>
      </c>
      <c r="O5">
        <f>P4*(N4-N3)+O4</f>
        <v>3450</v>
      </c>
      <c r="P5" s="4">
        <v>0.25</v>
      </c>
    </row>
    <row r="6" spans="1:16" x14ac:dyDescent="0.25">
      <c r="A6" s="2" t="s">
        <v>6</v>
      </c>
      <c r="B6" s="9">
        <f>L2/13.5*(100%-$L$6)</f>
        <v>0</v>
      </c>
      <c r="C6" s="9">
        <f>$L$2*6.91%</f>
        <v>2418.5</v>
      </c>
      <c r="D6" s="9"/>
      <c r="F6" s="5">
        <v>2</v>
      </c>
      <c r="G6" s="5">
        <v>3013.1726624999997</v>
      </c>
      <c r="H6" s="5">
        <v>2196.8255276940004</v>
      </c>
      <c r="I6" s="5">
        <v>2232.9938666768012</v>
      </c>
      <c r="K6" s="1" t="s">
        <v>37</v>
      </c>
      <c r="L6" s="8">
        <v>1</v>
      </c>
      <c r="N6">
        <v>50000</v>
      </c>
      <c r="O6">
        <f>P5*(N5-N4)+O5</f>
        <v>6700</v>
      </c>
      <c r="P6" s="4">
        <v>0.35</v>
      </c>
    </row>
    <row r="7" spans="1:16" x14ac:dyDescent="0.25">
      <c r="A7" s="2" t="s">
        <v>7</v>
      </c>
      <c r="B7" s="9"/>
      <c r="C7" s="9"/>
      <c r="D7" s="9">
        <f>L2*6.91%</f>
        <v>2418.5</v>
      </c>
      <c r="F7" s="5">
        <v>3</v>
      </c>
      <c r="G7" s="5">
        <v>3130.0941931874991</v>
      </c>
      <c r="H7" s="5">
        <v>2283.3883349028288</v>
      </c>
      <c r="I7" s="5">
        <v>2340.1775722772877</v>
      </c>
      <c r="K7" s="1"/>
      <c r="O7">
        <f>P6*(N6-N5)+O6</f>
        <v>14400</v>
      </c>
      <c r="P7" s="4">
        <v>0.43</v>
      </c>
    </row>
    <row r="8" spans="1:16" x14ac:dyDescent="0.25">
      <c r="A8" s="10" t="s">
        <v>23</v>
      </c>
      <c r="B8" s="11">
        <f>-MAX((B2+B4-5164.57)*L15,0)</f>
        <v>0</v>
      </c>
      <c r="C8" s="11">
        <f>-C3*$L$15-B4*$L$15</f>
        <v>-244.99999999999997</v>
      </c>
      <c r="D8" s="11">
        <f>-D3*$L$15-B4*$L$15</f>
        <v>-244.99999999999997</v>
      </c>
      <c r="F8" s="5">
        <v>4</v>
      </c>
      <c r="G8" s="5">
        <v>3251.1079774490613</v>
      </c>
      <c r="H8" s="5">
        <v>2373.2553696296686</v>
      </c>
      <c r="I8" s="5">
        <v>2452.506095746598</v>
      </c>
      <c r="K8" s="1" t="s">
        <v>14</v>
      </c>
      <c r="L8" s="8">
        <v>0.03</v>
      </c>
    </row>
    <row r="9" spans="1:16" x14ac:dyDescent="0.25">
      <c r="A9" s="10" t="s">
        <v>24</v>
      </c>
      <c r="B9" s="11"/>
      <c r="C9" s="11"/>
      <c r="D9" s="11">
        <f>-L16*D7</f>
        <v>-490.3708602747501</v>
      </c>
      <c r="F9" s="5">
        <v>5</v>
      </c>
      <c r="G9" s="5">
        <v>3376.357244159778</v>
      </c>
      <c r="H9" s="5">
        <v>2466.5533302743329</v>
      </c>
      <c r="I9" s="5">
        <v>2570.2263883424348</v>
      </c>
      <c r="K9" s="1" t="s">
        <v>15</v>
      </c>
      <c r="L9" s="8">
        <v>3.5000000000000003E-2</v>
      </c>
    </row>
    <row r="10" spans="1:16" x14ac:dyDescent="0.25">
      <c r="A10" s="3" t="s">
        <v>8</v>
      </c>
      <c r="B10" s="12">
        <f>B2+B4+B5</f>
        <v>3118.5</v>
      </c>
      <c r="C10" s="12"/>
      <c r="D10" s="12"/>
      <c r="F10" s="5">
        <v>6</v>
      </c>
      <c r="G10" s="5">
        <v>3505.9902352053705</v>
      </c>
      <c r="H10" s="5">
        <v>2563.4138003402882</v>
      </c>
      <c r="I10" s="5">
        <v>2693.5972549828721</v>
      </c>
      <c r="K10" s="1" t="s">
        <v>13</v>
      </c>
      <c r="L10" s="8">
        <v>0.05</v>
      </c>
    </row>
    <row r="11" spans="1:16" x14ac:dyDescent="0.25">
      <c r="A11" s="3" t="s">
        <v>9</v>
      </c>
      <c r="B11" s="12">
        <f>B6</f>
        <v>0</v>
      </c>
      <c r="C11" s="12">
        <f>C6</f>
        <v>2418.5</v>
      </c>
      <c r="D11" s="12"/>
      <c r="F11" s="5">
        <v>7</v>
      </c>
      <c r="G11" s="5">
        <v>3640.1603809375583</v>
      </c>
      <c r="H11" s="5">
        <v>2663.9734380538944</v>
      </c>
      <c r="I11" s="5">
        <v>2822.8899232220497</v>
      </c>
    </row>
    <row r="12" spans="1:16" x14ac:dyDescent="0.25">
      <c r="A12" s="3" t="s">
        <v>10</v>
      </c>
      <c r="B12" s="12">
        <f>B3+B8+B7+B9</f>
        <v>0</v>
      </c>
      <c r="C12" s="12">
        <f>C3+C8+C7+C9</f>
        <v>105.00000000000003</v>
      </c>
      <c r="D12" s="12">
        <f>D3+D8+D7+D9</f>
        <v>2033.1291397252498</v>
      </c>
      <c r="F12" s="5">
        <v>8</v>
      </c>
      <c r="G12" s="5">
        <v>3779.0264817703719</v>
      </c>
      <c r="H12" s="5">
        <v>2768.3741734029072</v>
      </c>
      <c r="I12" s="5">
        <v>2958.3886395367085</v>
      </c>
      <c r="K12" s="1" t="s">
        <v>19</v>
      </c>
      <c r="L12" s="16">
        <f>1.5%+0.75*L8</f>
        <v>3.7499999999999999E-2</v>
      </c>
    </row>
    <row r="13" spans="1:16" x14ac:dyDescent="0.25">
      <c r="A13" s="2" t="s">
        <v>25</v>
      </c>
      <c r="B13" s="9">
        <f>B10*(1+L9)^L3-B10</f>
        <v>5634.4861681151433</v>
      </c>
      <c r="C13" s="9"/>
      <c r="D13" s="9"/>
      <c r="F13" s="5">
        <v>9</v>
      </c>
      <c r="G13" s="5">
        <v>3922.7528961323342</v>
      </c>
      <c r="H13" s="5">
        <v>2876.7634128872692</v>
      </c>
      <c r="I13" s="5">
        <v>3100.3912942344709</v>
      </c>
      <c r="K13" s="1" t="s">
        <v>36</v>
      </c>
      <c r="L13" s="8">
        <v>0.105</v>
      </c>
    </row>
    <row r="14" spans="1:16" x14ac:dyDescent="0.25">
      <c r="A14" s="2" t="s">
        <v>26</v>
      </c>
      <c r="B14" s="9">
        <f>B11*(1+$L$12)^$L$3-B11</f>
        <v>0</v>
      </c>
      <c r="C14" s="9">
        <f>C11*(1+$L$12)^$L$3-C11</f>
        <v>4879.2545647106563</v>
      </c>
      <c r="D14" s="9"/>
      <c r="F14" s="5">
        <v>10</v>
      </c>
      <c r="G14" s="5">
        <v>4071.5097349969656</v>
      </c>
      <c r="H14" s="5">
        <v>2989.2942522869243</v>
      </c>
      <c r="I14" s="5">
        <v>3249.2100763577259</v>
      </c>
      <c r="K14" s="1" t="s">
        <v>35</v>
      </c>
      <c r="L14" s="4">
        <v>0.17</v>
      </c>
    </row>
    <row r="15" spans="1:16" x14ac:dyDescent="0.25">
      <c r="A15" s="2" t="s">
        <v>27</v>
      </c>
      <c r="B15" s="9">
        <f>B12*(1+$L$10-0.2%)^$L$3-B12</f>
        <v>0</v>
      </c>
      <c r="C15" s="9">
        <f t="shared" ref="C15:D15" si="2">C12*(1+$L$10-0.2%)^$L$3-C12</f>
        <v>323.57593224999437</v>
      </c>
      <c r="D15" s="9">
        <f t="shared" si="2"/>
        <v>6265.4443502021586</v>
      </c>
      <c r="F15" s="5">
        <v>11</v>
      </c>
      <c r="G15" s="5">
        <v>4225.4730632218598</v>
      </c>
      <c r="H15" s="5">
        <v>3106.1256977635576</v>
      </c>
      <c r="I15" s="5">
        <v>3405.1721600228966</v>
      </c>
      <c r="K15" s="1" t="s">
        <v>38</v>
      </c>
      <c r="L15" s="4" cm="1">
        <f t="array" ref="L15">INDEX(P2:P7,MATCH(L2*(100%-10.19%),N2:N7,1)+1)</f>
        <v>0.35</v>
      </c>
    </row>
    <row r="16" spans="1:16" x14ac:dyDescent="0.25">
      <c r="A16" s="10" t="s">
        <v>28</v>
      </c>
      <c r="B16" s="11">
        <f>-B10*L13</f>
        <v>-327.4425</v>
      </c>
      <c r="C16" s="11"/>
      <c r="D16" s="11"/>
      <c r="F16" s="5">
        <v>12</v>
      </c>
      <c r="G16" s="5">
        <v>4384.8251079346246</v>
      </c>
      <c r="H16" s="5">
        <v>3227.4228956258321</v>
      </c>
      <c r="I16" s="5">
        <v>3568.6204237039965</v>
      </c>
      <c r="K16" s="1" t="s">
        <v>39</v>
      </c>
      <c r="L16" s="17" cm="1">
        <f t="array" ref="L16">(INDEX(O2:O7,MATCH(L2*(100%-10.19%),N2:N7,1)+1)+INDEX(P2:P7,MATCH(L2*(100%-10.19%),N2:N7,1)+1)*(L2*(100%-10.19%)-INDEX(N2:N7,MATCH(L2*(100%-10.19%),N2:N7,1))))/L2*(100%-10.19%)</f>
        <v>0.20275826350000004</v>
      </c>
    </row>
    <row r="17" spans="1:9" x14ac:dyDescent="0.25">
      <c r="A17" s="10" t="s">
        <v>29</v>
      </c>
      <c r="B17" s="11">
        <f>-B14*$L$14-B11*$L$16</f>
        <v>0</v>
      </c>
      <c r="C17" s="11">
        <f>-C14*$L$14-C11*$L$16</f>
        <v>-1319.8441362755618</v>
      </c>
      <c r="D17" s="11"/>
      <c r="F17" s="5">
        <v>13</v>
      </c>
      <c r="G17" s="5">
        <v>4549.7544742123355</v>
      </c>
      <c r="H17" s="5">
        <v>3353.3573711008621</v>
      </c>
      <c r="I17" s="5">
        <v>3739.9142040417883</v>
      </c>
    </row>
    <row r="18" spans="1:9" x14ac:dyDescent="0.25">
      <c r="A18" s="10" t="s">
        <v>30</v>
      </c>
      <c r="B18" s="11">
        <v>0</v>
      </c>
      <c r="C18" s="11">
        <v>0</v>
      </c>
      <c r="D18" s="11">
        <v>0</v>
      </c>
      <c r="F18" s="5">
        <v>14</v>
      </c>
      <c r="G18" s="5">
        <v>4720.4563683097676</v>
      </c>
      <c r="H18" s="5">
        <v>3484.1072764683868</v>
      </c>
      <c r="I18" s="5">
        <v>3919.4300858357947</v>
      </c>
    </row>
    <row r="19" spans="1:9" x14ac:dyDescent="0.25">
      <c r="A19" s="1" t="s">
        <v>31</v>
      </c>
      <c r="B19" s="5">
        <f>B10+B13+B16</f>
        <v>8425.5436681151441</v>
      </c>
      <c r="C19" s="5"/>
      <c r="D19" s="5"/>
      <c r="F19" s="5">
        <v>15</v>
      </c>
      <c r="G19" s="5">
        <v>4897.132828700609</v>
      </c>
      <c r="H19" s="5">
        <v>3619.8576489283582</v>
      </c>
      <c r="I19" s="5">
        <v>4107.5627299559128</v>
      </c>
    </row>
    <row r="20" spans="1:9" x14ac:dyDescent="0.25">
      <c r="A20" s="1" t="s">
        <v>32</v>
      </c>
      <c r="B20" s="5">
        <f>B11+B14+B17</f>
        <v>0</v>
      </c>
      <c r="C20" s="5">
        <f>C11+C14+C17</f>
        <v>5977.9104284350942</v>
      </c>
      <c r="D20" s="5"/>
      <c r="F20" s="5">
        <v>16</v>
      </c>
      <c r="G20" s="5">
        <v>5079.9929652051287</v>
      </c>
      <c r="H20" s="5">
        <v>3760.80067858752</v>
      </c>
      <c r="I20" s="5">
        <v>4304.7257409937984</v>
      </c>
    </row>
    <row r="21" spans="1:9" x14ac:dyDescent="0.25">
      <c r="A21" s="1" t="s">
        <v>33</v>
      </c>
      <c r="B21" s="5">
        <f t="shared" ref="B21:C21" si="3">B12+B15+B18</f>
        <v>0</v>
      </c>
      <c r="C21" s="5">
        <f t="shared" si="3"/>
        <v>428.57593224999437</v>
      </c>
      <c r="D21" s="5">
        <f>D12+D15+D18</f>
        <v>8298.5734899274084</v>
      </c>
      <c r="F21" s="5">
        <v>17</v>
      </c>
      <c r="G21" s="5">
        <v>5269.2532064873085</v>
      </c>
      <c r="H21" s="5">
        <v>3907.1359869659736</v>
      </c>
      <c r="I21" s="5">
        <v>4511.3525765615004</v>
      </c>
    </row>
    <row r="22" spans="1:9" x14ac:dyDescent="0.25">
      <c r="A22" s="1" t="s">
        <v>34</v>
      </c>
      <c r="B22" s="5">
        <f>SUM(B19:B21)</f>
        <v>8425.5436681151441</v>
      </c>
      <c r="C22" s="5">
        <f t="shared" ref="C22:D22" si="4">SUM(C19:C21)</f>
        <v>6406.4863606850886</v>
      </c>
      <c r="D22" s="5">
        <f t="shared" si="4"/>
        <v>8298.5734899274084</v>
      </c>
      <c r="F22" s="5">
        <v>18</v>
      </c>
      <c r="G22" s="5">
        <v>5465.1375562143639</v>
      </c>
      <c r="H22" s="5">
        <v>4059.0709164408336</v>
      </c>
      <c r="I22" s="5">
        <v>4727.8975002364532</v>
      </c>
    </row>
    <row r="23" spans="1:9" x14ac:dyDescent="0.25">
      <c r="F23" s="5">
        <v>19</v>
      </c>
      <c r="G23" s="5">
        <v>5667.877858181866</v>
      </c>
      <c r="H23" s="5">
        <v>4216.8208310607606</v>
      </c>
      <c r="I23" s="5">
        <v>4954.836580247802</v>
      </c>
    </row>
    <row r="24" spans="1:9" x14ac:dyDescent="0.25">
      <c r="F24" s="5">
        <v>20</v>
      </c>
      <c r="G24" s="5">
        <v>5877.7140707182307</v>
      </c>
      <c r="H24" s="5">
        <v>4380.6094291826039</v>
      </c>
      <c r="I24" s="5">
        <v>5192.6687360996984</v>
      </c>
    </row>
    <row r="25" spans="1:9" x14ac:dyDescent="0.25">
      <c r="F25" s="5">
        <v>21</v>
      </c>
      <c r="G25" s="5">
        <v>6094.8945506933669</v>
      </c>
      <c r="H25" s="5">
        <v>4550.6690683994611</v>
      </c>
      <c r="I25" s="5">
        <v>5441.9168354324838</v>
      </c>
    </row>
    <row r="26" spans="1:9" x14ac:dyDescent="0.25">
      <c r="F26" s="5">
        <v>22</v>
      </c>
      <c r="G26" s="5">
        <v>6319.6763474676354</v>
      </c>
      <c r="H26" s="5">
        <v>4727.2411032483342</v>
      </c>
      <c r="I26" s="5">
        <v>5703.1288435332444</v>
      </c>
    </row>
    <row r="27" spans="1:9" x14ac:dyDescent="0.25">
      <c r="F27" s="5">
        <v>23</v>
      </c>
      <c r="G27" s="5">
        <v>6552.3255071290023</v>
      </c>
      <c r="H27" s="5">
        <v>4910.5762362051737</v>
      </c>
      <c r="I27" s="5">
        <v>5976.8790280228395</v>
      </c>
    </row>
    <row r="28" spans="1:9" x14ac:dyDescent="0.25">
      <c r="F28" s="5">
        <v>24</v>
      </c>
      <c r="G28" s="5">
        <v>6793.1173873785165</v>
      </c>
      <c r="H28" s="5">
        <v>5100.9348824954823</v>
      </c>
      <c r="I28" s="5">
        <v>6263.7692213679375</v>
      </c>
    </row>
    <row r="29" spans="1:9" x14ac:dyDescent="0.25">
      <c r="F29" s="5">
        <v>25</v>
      </c>
      <c r="G29" s="5">
        <v>7042.3369834367631</v>
      </c>
      <c r="H29" s="5">
        <v>5298.5875492699479</v>
      </c>
      <c r="I29" s="5">
        <v>6564.430143993598</v>
      </c>
    </row>
    <row r="30" spans="1:9" x14ac:dyDescent="0.25">
      <c r="F30" s="5">
        <v>26</v>
      </c>
      <c r="G30" s="5">
        <v>7300.2792653570505</v>
      </c>
      <c r="H30" s="5">
        <v>5503.8152297166434</v>
      </c>
      <c r="I30" s="5">
        <v>6879.522790905291</v>
      </c>
    </row>
    <row r="31" spans="1:9" x14ac:dyDescent="0.25">
      <c r="F31" s="5">
        <v>27</v>
      </c>
      <c r="G31" s="5">
        <v>7567.2495271445468</v>
      </c>
      <c r="H31" s="5">
        <v>5716.9098127043499</v>
      </c>
      <c r="I31" s="5">
        <v>7209.7398848687453</v>
      </c>
    </row>
    <row r="32" spans="1:9" x14ac:dyDescent="0.25">
      <c r="F32" s="5">
        <v>28</v>
      </c>
      <c r="G32" s="5">
        <v>7843.5637480946061</v>
      </c>
      <c r="H32" s="5">
        <v>5938.1745085755247</v>
      </c>
      <c r="I32" s="5">
        <v>7555.8073993424478</v>
      </c>
    </row>
    <row r="33" spans="6:9" x14ac:dyDescent="0.25">
      <c r="F33" s="5">
        <v>29</v>
      </c>
      <c r="G33" s="5">
        <v>8129.5489667779157</v>
      </c>
      <c r="H33" s="5">
        <v>6167.9242917323181</v>
      </c>
      <c r="I33" s="5">
        <v>7918.4861545108852</v>
      </c>
    </row>
    <row r="34" spans="6:9" x14ac:dyDescent="0.25">
      <c r="F34" s="5">
        <v>30</v>
      </c>
      <c r="G34" s="5">
        <v>8425.5436681151441</v>
      </c>
      <c r="H34" s="5">
        <v>6406.4863606850886</v>
      </c>
      <c r="I34" s="5">
        <v>8298.5734899274084</v>
      </c>
    </row>
  </sheetData>
  <conditionalFormatting sqref="B22:D22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{84D76F08-B506-4BB1-B7D5-0D9296BF3D04}</x14:id>
        </ext>
      </extLst>
    </cfRule>
  </conditionalFormatting>
  <conditionalFormatting sqref="G2:I2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{71A5F304-6CE9-48A4-87D1-E13E7537EEEF}</x14:id>
        </ext>
      </extLst>
    </cfRule>
  </conditionalFormatting>
  <conditionalFormatting sqref="L5">
    <cfRule type="cellIs" dxfId="2" priority="1" operator="greaterThan">
      <formula>$L$4</formula>
    </cfRule>
  </conditionalFormatting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4D76F08-B506-4BB1-B7D5-0D9296BF3D0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B22:D22</xm:sqref>
        </x14:conditionalFormatting>
        <x14:conditionalFormatting xmlns:xm="http://schemas.microsoft.com/office/excel/2006/main">
          <x14:cfRule type="dataBar" id="{71A5F304-6CE9-48A4-87D1-E13E7537EEE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G2:I2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9F87-8384-4595-83A3-188F67D0C247}">
  <dimension ref="A1:G34"/>
  <sheetViews>
    <sheetView zoomScaleNormal="100" workbookViewId="0">
      <selection activeCell="B13" sqref="B13"/>
    </sheetView>
  </sheetViews>
  <sheetFormatPr defaultRowHeight="15" x14ac:dyDescent="0.25"/>
  <sheetData>
    <row r="1" spans="1:7" ht="45" x14ac:dyDescent="0.25">
      <c r="B1" s="18" t="s">
        <v>0</v>
      </c>
      <c r="C1" s="15" t="s">
        <v>1</v>
      </c>
      <c r="D1" s="15" t="s">
        <v>2</v>
      </c>
    </row>
    <row r="2" spans="1:7" x14ac:dyDescent="0.25">
      <c r="B2" s="19">
        <f>SUM(B4:B34)</f>
        <v>169566.18149084644</v>
      </c>
      <c r="C2" s="19">
        <f t="shared" ref="C2:D2" si="0">SUM(C4:C34)</f>
        <v>148937.83048012573</v>
      </c>
      <c r="D2" s="19">
        <f t="shared" si="0"/>
        <v>167869.9510175038</v>
      </c>
      <c r="E2" s="19"/>
      <c r="F2" s="19">
        <f>$B2-C2</f>
        <v>20628.351010720711</v>
      </c>
      <c r="G2" s="19">
        <f>$B2-D2</f>
        <v>1696.2304733426427</v>
      </c>
    </row>
    <row r="5" spans="1:7" x14ac:dyDescent="0.25">
      <c r="A5" s="5">
        <v>1</v>
      </c>
      <c r="B5" s="5">
        <v>6878.0092592592591</v>
      </c>
      <c r="C5" s="5">
        <v>5444.6358125000006</v>
      </c>
      <c r="D5" s="5">
        <v>5458.6717499999995</v>
      </c>
    </row>
    <row r="6" spans="1:7" x14ac:dyDescent="0.25">
      <c r="A6" s="5">
        <v>2</v>
      </c>
      <c r="B6" s="5">
        <v>7151.9109953703701</v>
      </c>
      <c r="C6" s="5">
        <v>5701.8907179687503</v>
      </c>
      <c r="D6" s="5">
        <v>5731.6053375000001</v>
      </c>
    </row>
    <row r="7" spans="1:7" x14ac:dyDescent="0.25">
      <c r="A7" s="5">
        <v>3</v>
      </c>
      <c r="B7" s="5">
        <v>7435.6085934606472</v>
      </c>
      <c r="C7" s="5">
        <v>5971.0321355175784</v>
      </c>
      <c r="D7" s="5">
        <v>6018.1856043750004</v>
      </c>
    </row>
    <row r="8" spans="1:7" x14ac:dyDescent="0.25">
      <c r="A8" s="5">
        <v>4</v>
      </c>
      <c r="B8" s="5">
        <v>7729.4527574949361</v>
      </c>
      <c r="C8" s="5">
        <v>6252.6177820057383</v>
      </c>
      <c r="D8" s="5">
        <v>6319.0948845937501</v>
      </c>
    </row>
    <row r="9" spans="1:7" x14ac:dyDescent="0.25">
      <c r="A9" s="5">
        <v>5</v>
      </c>
      <c r="B9" s="5">
        <v>8033.8067604066819</v>
      </c>
      <c r="C9" s="5">
        <v>6547.2318873075164</v>
      </c>
      <c r="D9" s="5">
        <v>6635.0496288234381</v>
      </c>
    </row>
    <row r="10" spans="1:7" x14ac:dyDescent="0.25">
      <c r="A10" s="5">
        <v>6</v>
      </c>
      <c r="B10" s="5">
        <v>8349.0468950492068</v>
      </c>
      <c r="C10" s="5">
        <v>6855.4864684819386</v>
      </c>
      <c r="D10" s="5">
        <v>6966.8021102646089</v>
      </c>
    </row>
    <row r="11" spans="1:7" x14ac:dyDescent="0.25">
      <c r="A11" s="5">
        <v>7</v>
      </c>
      <c r="B11" s="5">
        <v>8675.5629413441675</v>
      </c>
      <c r="C11" s="5">
        <v>7178.022665720423</v>
      </c>
      <c r="D11" s="5">
        <v>7315.1422157778406</v>
      </c>
    </row>
    <row r="12" spans="1:7" x14ac:dyDescent="0.25">
      <c r="A12" s="5">
        <v>8</v>
      </c>
      <c r="B12" s="5">
        <v>9013.758650209651</v>
      </c>
      <c r="C12" s="5">
        <v>7515.5121430888703</v>
      </c>
      <c r="D12" s="5">
        <v>7680.8993265667314</v>
      </c>
    </row>
    <row r="13" spans="1:7" x14ac:dyDescent="0.25">
      <c r="A13" s="5">
        <v>9</v>
      </c>
      <c r="B13" s="5">
        <v>9364.0522448712563</v>
      </c>
      <c r="C13" s="5">
        <v>7868.6585572288295</v>
      </c>
      <c r="D13" s="5">
        <v>8064.9442928950684</v>
      </c>
    </row>
    <row r="14" spans="1:7" x14ac:dyDescent="0.25">
      <c r="A14" s="5">
        <v>10</v>
      </c>
      <c r="B14" s="5">
        <v>9726.8769401813188</v>
      </c>
      <c r="C14" s="5">
        <v>8238.1990973377451</v>
      </c>
      <c r="D14" s="5">
        <v>8468.1915075398229</v>
      </c>
    </row>
    <row r="15" spans="1:7" x14ac:dyDescent="0.25">
      <c r="A15" s="5">
        <v>12</v>
      </c>
      <c r="B15" s="5">
        <v>3159.2826494049318</v>
      </c>
      <c r="C15" s="5">
        <v>2942.0847607691994</v>
      </c>
      <c r="D15" s="5">
        <v>3248.677155929141</v>
      </c>
    </row>
    <row r="16" spans="1:7" x14ac:dyDescent="0.25">
      <c r="A16" s="5">
        <v>13</v>
      </c>
      <c r="B16" s="5">
        <v>3286.6502316389874</v>
      </c>
      <c r="C16" s="5">
        <v>3061.2156359407572</v>
      </c>
      <c r="D16" s="5">
        <v>3411.1110137255987</v>
      </c>
    </row>
    <row r="17" spans="1:4" x14ac:dyDescent="0.25">
      <c r="A17" s="5">
        <v>14</v>
      </c>
      <c r="B17" s="5">
        <v>3418.7894705590584</v>
      </c>
      <c r="C17" s="5">
        <v>3184.839453763384</v>
      </c>
      <c r="D17" s="5">
        <v>3581.666564411878</v>
      </c>
    </row>
    <row r="18" spans="1:4" x14ac:dyDescent="0.25">
      <c r="A18" s="5">
        <v>15</v>
      </c>
      <c r="B18" s="5">
        <v>3555.8791413231961</v>
      </c>
      <c r="C18" s="5">
        <v>3313.1259763281018</v>
      </c>
      <c r="D18" s="5">
        <v>3760.7498926324729</v>
      </c>
    </row>
    <row r="19" spans="1:4" x14ac:dyDescent="0.25">
      <c r="A19" s="5">
        <v>16</v>
      </c>
      <c r="B19" s="5">
        <v>3698.104717489015</v>
      </c>
      <c r="C19" s="5">
        <v>3446.2513956414259</v>
      </c>
      <c r="D19" s="5">
        <v>3948.7873872640957</v>
      </c>
    </row>
    <row r="20" spans="1:4" x14ac:dyDescent="0.25">
      <c r="A20" s="5">
        <v>17</v>
      </c>
      <c r="B20" s="5">
        <v>3845.6586220052568</v>
      </c>
      <c r="C20" s="5">
        <v>3584.3985779390514</v>
      </c>
      <c r="D20" s="5">
        <v>4146.2267566273022</v>
      </c>
    </row>
    <row r="21" spans="1:4" x14ac:dyDescent="0.25">
      <c r="A21" s="5">
        <v>18</v>
      </c>
      <c r="B21" s="5">
        <v>3998.7404876086116</v>
      </c>
      <c r="C21" s="5">
        <v>3727.7573173208903</v>
      </c>
      <c r="D21" s="5">
        <v>4353.5380944586668</v>
      </c>
    </row>
    <row r="22" spans="1:4" x14ac:dyDescent="0.25">
      <c r="A22" s="5">
        <v>19</v>
      </c>
      <c r="B22" s="5">
        <v>4157.5574269782164</v>
      </c>
      <c r="C22" s="5">
        <v>3876.5245990650051</v>
      </c>
      <c r="D22" s="5">
        <v>4571.2149991816004</v>
      </c>
    </row>
    <row r="23" spans="1:4" x14ac:dyDescent="0.25">
      <c r="A23" s="5">
        <v>20</v>
      </c>
      <c r="B23" s="5">
        <v>4322.3243130135197</v>
      </c>
      <c r="C23" s="5">
        <v>4030.904872991754</v>
      </c>
      <c r="D23" s="5">
        <v>4799.7757491406801</v>
      </c>
    </row>
    <row r="24" spans="1:4" x14ac:dyDescent="0.25">
      <c r="A24" s="5">
        <v>21</v>
      </c>
      <c r="B24" s="5">
        <v>4493.2640696148637</v>
      </c>
      <c r="C24" s="5">
        <v>4191.1103372638463</v>
      </c>
      <c r="D24" s="5">
        <v>5039.7645365977141</v>
      </c>
    </row>
    <row r="25" spans="1:4" x14ac:dyDescent="0.25">
      <c r="A25" s="5">
        <v>22</v>
      </c>
      <c r="B25" s="5">
        <v>4670.607973360361</v>
      </c>
      <c r="C25" s="5">
        <v>4357.3612330228852</v>
      </c>
      <c r="D25" s="5">
        <v>5291.7527634275993</v>
      </c>
    </row>
    <row r="26" spans="1:4" x14ac:dyDescent="0.25">
      <c r="A26" s="5">
        <v>23</v>
      </c>
      <c r="B26" s="5">
        <v>4854.595966487429</v>
      </c>
      <c r="C26" s="5">
        <v>4529.8861502784721</v>
      </c>
      <c r="D26" s="5">
        <v>5556.34040159898</v>
      </c>
    </row>
    <row r="27" spans="1:4" x14ac:dyDescent="0.25">
      <c r="A27" s="5">
        <v>24</v>
      </c>
      <c r="B27" s="5">
        <v>5045.4769816025628</v>
      </c>
      <c r="C27" s="5">
        <v>4708.9223454820039</v>
      </c>
      <c r="D27" s="5">
        <v>5834.1574216789286</v>
      </c>
    </row>
    <row r="28" spans="1:4" x14ac:dyDescent="0.25">
      <c r="A28" s="5">
        <v>25</v>
      </c>
      <c r="B28" s="5">
        <v>5243.5092785589177</v>
      </c>
      <c r="C28" s="5">
        <v>4894.7160712340747</v>
      </c>
      <c r="D28" s="5">
        <v>6125.8652927628755</v>
      </c>
    </row>
    <row r="29" spans="1:4" x14ac:dyDescent="0.25">
      <c r="A29" s="5">
        <v>26</v>
      </c>
      <c r="B29" s="5">
        <v>5448.9607939576426</v>
      </c>
      <c r="C29" s="5">
        <v>5087.5229185916705</v>
      </c>
      <c r="D29" s="5">
        <v>6432.1585574010187</v>
      </c>
    </row>
    <row r="30" spans="1:4" x14ac:dyDescent="0.25">
      <c r="A30" s="5">
        <v>27</v>
      </c>
      <c r="B30" s="5">
        <v>5662.1095037460564</v>
      </c>
      <c r="C30" s="5">
        <v>5287.6081724594924</v>
      </c>
      <c r="D30" s="5">
        <v>6753.7664852710705</v>
      </c>
    </row>
    <row r="31" spans="1:4" x14ac:dyDescent="0.25">
      <c r="A31" s="5">
        <v>28</v>
      </c>
      <c r="B31" s="5">
        <v>5883.2437994034508</v>
      </c>
      <c r="C31" s="5">
        <v>5495.2471805683917</v>
      </c>
      <c r="D31" s="5">
        <v>7091.4548095346236</v>
      </c>
    </row>
    <row r="32" spans="1:4" x14ac:dyDescent="0.25">
      <c r="A32" s="5">
        <v>29</v>
      </c>
      <c r="B32" s="5">
        <v>6112.6628782237249</v>
      </c>
      <c r="C32" s="5">
        <v>5710.725736563455</v>
      </c>
      <c r="D32" s="5">
        <v>7446.0275500113557</v>
      </c>
    </row>
    <row r="33" spans="1:4" x14ac:dyDescent="0.25">
      <c r="A33" s="5">
        <v>30</v>
      </c>
      <c r="B33" s="5">
        <v>6350.6771482231443</v>
      </c>
      <c r="C33" s="5">
        <v>5934.3404777445221</v>
      </c>
      <c r="D33" s="5">
        <v>7818.3289275119205</v>
      </c>
    </row>
    <row r="34" spans="1:4" x14ac:dyDescent="0.25">
      <c r="A34" s="5"/>
      <c r="B34" s="5"/>
      <c r="C34" s="5"/>
      <c r="D34" s="5"/>
    </row>
  </sheetData>
  <conditionalFormatting sqref="B2:D2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{27A2B964-2243-4B9B-9C75-9E84E81A573A}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A2B964-2243-4B9B-9C75-9E84E81A573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B2:D2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07A8-D244-40FF-8CE9-DF450003C591}">
  <dimension ref="A1:P34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5" sqref="B15:D15"/>
    </sheetView>
  </sheetViews>
  <sheetFormatPr defaultRowHeight="15" x14ac:dyDescent="0.25"/>
  <cols>
    <col min="1" max="1" width="18.5703125" bestFit="1" customWidth="1"/>
    <col min="2" max="2" width="9.28515625" bestFit="1" customWidth="1"/>
    <col min="3" max="3" width="14" bestFit="1" customWidth="1"/>
    <col min="4" max="4" width="12.140625" bestFit="1" customWidth="1"/>
    <col min="7" max="7" width="14.85546875" style="5" customWidth="1"/>
    <col min="8" max="9" width="14.85546875" customWidth="1"/>
    <col min="11" max="11" width="39.28515625" bestFit="1" customWidth="1"/>
    <col min="12" max="12" width="7.5703125" bestFit="1" customWidth="1"/>
    <col min="13" max="13" width="5.85546875" customWidth="1"/>
  </cols>
  <sheetData>
    <row r="1" spans="1:16" s="14" customFormat="1" ht="32.25" customHeight="1" x14ac:dyDescent="0.25">
      <c r="A1" s="13"/>
      <c r="B1" s="15" t="s">
        <v>0</v>
      </c>
      <c r="C1" s="15" t="s">
        <v>1</v>
      </c>
      <c r="D1" s="15" t="s">
        <v>2</v>
      </c>
      <c r="G1" s="18" t="s">
        <v>0</v>
      </c>
      <c r="H1" s="15" t="s">
        <v>1</v>
      </c>
      <c r="I1" s="15" t="s">
        <v>2</v>
      </c>
    </row>
    <row r="2" spans="1:16" x14ac:dyDescent="0.25">
      <c r="A2" s="1" t="s">
        <v>4</v>
      </c>
      <c r="B2" s="5">
        <f>L2*L4</f>
        <v>350</v>
      </c>
      <c r="C2" s="5"/>
      <c r="D2" s="5"/>
      <c r="G2" s="19"/>
      <c r="H2" s="19"/>
      <c r="I2" s="19"/>
      <c r="K2" s="1" t="s">
        <v>3</v>
      </c>
      <c r="L2" s="6">
        <v>35000</v>
      </c>
      <c r="N2" t="s">
        <v>16</v>
      </c>
      <c r="O2" t="s">
        <v>18</v>
      </c>
      <c r="P2" t="s">
        <v>17</v>
      </c>
    </row>
    <row r="3" spans="1:16" x14ac:dyDescent="0.25">
      <c r="A3" s="1" t="s">
        <v>12</v>
      </c>
      <c r="B3" s="5"/>
      <c r="C3" s="5">
        <f>B2</f>
        <v>350</v>
      </c>
      <c r="D3" s="5">
        <f>B2</f>
        <v>350</v>
      </c>
      <c r="K3" s="1" t="s">
        <v>11</v>
      </c>
      <c r="L3" s="7">
        <v>30</v>
      </c>
      <c r="N3">
        <v>0</v>
      </c>
      <c r="O3">
        <v>0</v>
      </c>
      <c r="P3" s="4">
        <v>0</v>
      </c>
    </row>
    <row r="4" spans="1:16" x14ac:dyDescent="0.25">
      <c r="A4" s="1" t="s">
        <v>21</v>
      </c>
      <c r="B4" s="5">
        <f>L5*L2</f>
        <v>350</v>
      </c>
      <c r="C4" s="5"/>
      <c r="D4" s="5"/>
      <c r="F4" s="5"/>
      <c r="G4" s="5">
        <f>B22</f>
        <v>8425.5436681151441</v>
      </c>
      <c r="H4" s="5">
        <f t="shared" ref="H4:I4" si="0">C22</f>
        <v>6564.3994025704142</v>
      </c>
      <c r="I4" s="5">
        <f t="shared" si="0"/>
        <v>11356.264985162728</v>
      </c>
      <c r="K4" s="1" t="s">
        <v>20</v>
      </c>
      <c r="L4" s="8">
        <v>0.01</v>
      </c>
      <c r="N4">
        <v>15000</v>
      </c>
      <c r="O4">
        <v>0</v>
      </c>
      <c r="P4" s="4">
        <v>0.23</v>
      </c>
    </row>
    <row r="5" spans="1:16" x14ac:dyDescent="0.25">
      <c r="A5" s="2" t="s">
        <v>5</v>
      </c>
      <c r="B5" s="9">
        <f>L2*6.91%*$L$6</f>
        <v>2418.5</v>
      </c>
      <c r="C5" s="9"/>
      <c r="D5" s="9"/>
      <c r="F5" s="5">
        <v>1</v>
      </c>
      <c r="G5" s="5">
        <f t="dataTable" ref="G5:I34" dt2D="0" dtr="0" r1="L3"/>
        <v>2759.8724999999995</v>
      </c>
      <c r="H5" s="5">
        <v>2113.6885522252505</v>
      </c>
      <c r="I5" s="5">
        <v>2135.4361980362246</v>
      </c>
      <c r="K5" s="1" t="s">
        <v>22</v>
      </c>
      <c r="L5" s="8">
        <v>0.01</v>
      </c>
      <c r="N5">
        <v>28000</v>
      </c>
      <c r="O5">
        <f>P4*(N4-N3)+O4</f>
        <v>3450</v>
      </c>
      <c r="P5" s="4">
        <v>0.25</v>
      </c>
    </row>
    <row r="6" spans="1:16" x14ac:dyDescent="0.25">
      <c r="A6" s="2" t="s">
        <v>6</v>
      </c>
      <c r="B6" s="9">
        <f>L2/13.5*(100%-$L$6)</f>
        <v>0</v>
      </c>
      <c r="C6" s="9">
        <f>$L$2*6.91%</f>
        <v>2418.5</v>
      </c>
      <c r="D6" s="9"/>
      <c r="F6" s="5">
        <v>2</v>
      </c>
      <c r="G6" s="5">
        <v>2872.8401624999997</v>
      </c>
      <c r="H6" s="5">
        <v>2197.4300924940007</v>
      </c>
      <c r="I6" s="5">
        <v>2244.7001363123454</v>
      </c>
      <c r="K6" s="1" t="s">
        <v>37</v>
      </c>
      <c r="L6" s="8">
        <v>1</v>
      </c>
      <c r="N6">
        <v>50000</v>
      </c>
      <c r="O6">
        <f>P5*(N5-N4)+O5</f>
        <v>6700</v>
      </c>
      <c r="P6" s="4">
        <v>0.35</v>
      </c>
    </row>
    <row r="7" spans="1:16" x14ac:dyDescent="0.25">
      <c r="A7" s="2" t="s">
        <v>7</v>
      </c>
      <c r="B7" s="9"/>
      <c r="C7" s="9"/>
      <c r="D7" s="9">
        <f>L2*6.91%</f>
        <v>2418.5</v>
      </c>
      <c r="F7" s="5">
        <v>3</v>
      </c>
      <c r="G7" s="5">
        <v>2989.7616931874991</v>
      </c>
      <c r="H7" s="5">
        <v>2284.4840485092286</v>
      </c>
      <c r="I7" s="5">
        <v>2361.3940223912427</v>
      </c>
      <c r="O7">
        <f>P6*(N6-N5)+O6</f>
        <v>14400</v>
      </c>
      <c r="P7" s="4">
        <v>0.43</v>
      </c>
    </row>
    <row r="8" spans="1:16" x14ac:dyDescent="0.25">
      <c r="A8" s="10" t="s">
        <v>23</v>
      </c>
      <c r="B8" s="11">
        <f>-MAX((B2+B4-5164.57)*L15,0)</f>
        <v>0</v>
      </c>
      <c r="C8" s="11">
        <f>-C3*$L$15-B4*$L$15</f>
        <v>-244.99999999999997</v>
      </c>
      <c r="D8" s="11">
        <f>-D3*$L$15-B4*$L$15</f>
        <v>-244.99999999999997</v>
      </c>
      <c r="F8" s="5">
        <v>4</v>
      </c>
      <c r="G8" s="5">
        <v>3110.7754774490613</v>
      </c>
      <c r="H8" s="5">
        <v>2374.9863392045036</v>
      </c>
      <c r="I8" s="5">
        <v>2486.0230927235048</v>
      </c>
      <c r="K8" s="1" t="s">
        <v>14</v>
      </c>
      <c r="L8" s="8">
        <v>0.03</v>
      </c>
    </row>
    <row r="9" spans="1:16" x14ac:dyDescent="0.25">
      <c r="A9" s="10" t="s">
        <v>24</v>
      </c>
      <c r="B9" s="11"/>
      <c r="C9" s="11"/>
      <c r="D9" s="11">
        <f>-L16*D7</f>
        <v>-490.3708602747501</v>
      </c>
      <c r="F9" s="5">
        <v>5</v>
      </c>
      <c r="G9" s="5">
        <v>3236.024744159778</v>
      </c>
      <c r="H9" s="5">
        <v>2469.0787763007306</v>
      </c>
      <c r="I9" s="5">
        <v>2619.1269398383606</v>
      </c>
      <c r="K9" s="1" t="s">
        <v>15</v>
      </c>
      <c r="L9" s="8">
        <v>3.5000000000000003E-2</v>
      </c>
    </row>
    <row r="10" spans="1:16" x14ac:dyDescent="0.25">
      <c r="A10" s="3" t="s">
        <v>8</v>
      </c>
      <c r="B10" s="12">
        <f>B2+B4+B5</f>
        <v>3118.5</v>
      </c>
      <c r="C10" s="12"/>
      <c r="D10" s="12"/>
      <c r="F10" s="5">
        <v>6</v>
      </c>
      <c r="G10" s="5">
        <v>3365.6577352053705</v>
      </c>
      <c r="H10" s="5">
        <v>2566.9093394019369</v>
      </c>
      <c r="I10" s="5">
        <v>2761.2818485570269</v>
      </c>
      <c r="K10" s="1" t="s">
        <v>41</v>
      </c>
      <c r="L10" s="8">
        <v>7.0000000000000007E-2</v>
      </c>
      <c r="M10" s="22"/>
    </row>
    <row r="11" spans="1:16" x14ac:dyDescent="0.25">
      <c r="A11" s="3" t="s">
        <v>9</v>
      </c>
      <c r="B11" s="12">
        <f>B6</f>
        <v>0</v>
      </c>
      <c r="C11" s="12">
        <f>C6</f>
        <v>2418.5</v>
      </c>
      <c r="D11" s="12"/>
      <c r="F11" s="5">
        <v>7</v>
      </c>
      <c r="G11" s="5">
        <v>3499.8278809375583</v>
      </c>
      <c r="H11" s="5">
        <v>2668.6324650870538</v>
      </c>
      <c r="I11" s="5">
        <v>2913.1032910685626</v>
      </c>
    </row>
    <row r="12" spans="1:16" x14ac:dyDescent="0.25">
      <c r="A12" s="3" t="s">
        <v>10</v>
      </c>
      <c r="B12" s="12">
        <f>B3+B8+B7+B9</f>
        <v>0</v>
      </c>
      <c r="C12" s="12">
        <f>C3+C8+C7+C9</f>
        <v>105.00000000000003</v>
      </c>
      <c r="D12" s="12">
        <f>D3+D8+D7+D9</f>
        <v>2033.1291397252498</v>
      </c>
      <c r="F12" s="5">
        <v>8</v>
      </c>
      <c r="G12" s="5">
        <v>3638.6939817703719</v>
      </c>
      <c r="H12" s="5">
        <v>2774.4093507727748</v>
      </c>
      <c r="I12" s="5">
        <v>3075.2485916708829</v>
      </c>
      <c r="K12" s="1" t="s">
        <v>19</v>
      </c>
      <c r="L12" s="16">
        <f>1.5%+0.75*L8</f>
        <v>3.7499999999999999E-2</v>
      </c>
    </row>
    <row r="13" spans="1:16" x14ac:dyDescent="0.25">
      <c r="A13" s="2" t="s">
        <v>25</v>
      </c>
      <c r="B13" s="9">
        <f>B10*(1+$L$9)^$L$3-B10</f>
        <v>5634.4861681151433</v>
      </c>
      <c r="C13" s="9"/>
      <c r="D13" s="9"/>
      <c r="F13" s="5">
        <v>9</v>
      </c>
      <c r="G13" s="5">
        <v>3782.4203961323342</v>
      </c>
      <c r="H13" s="5">
        <v>2884.408274168667</v>
      </c>
      <c r="I13" s="5">
        <v>3248.4197727141604</v>
      </c>
      <c r="K13" s="1" t="s">
        <v>36</v>
      </c>
      <c r="L13" s="16">
        <f>MAX(9%,15%-0.3%*MAX(0,L3-15))</f>
        <v>0.105</v>
      </c>
    </row>
    <row r="14" spans="1:16" x14ac:dyDescent="0.25">
      <c r="A14" s="2" t="s">
        <v>26</v>
      </c>
      <c r="B14" s="9">
        <f>B11*(1+$L$12)^$L$3-B11</f>
        <v>0</v>
      </c>
      <c r="C14" s="9">
        <f>C11*(1+$L$12)^$L$3-C11</f>
        <v>4879.2545647106563</v>
      </c>
      <c r="D14" s="9"/>
      <c r="F14" s="5">
        <v>10</v>
      </c>
      <c r="G14" s="5">
        <v>3931.1772349969656</v>
      </c>
      <c r="H14" s="5">
        <v>2998.8049291946545</v>
      </c>
      <c r="I14" s="5">
        <v>3433.3665940683809</v>
      </c>
      <c r="K14" s="1" t="s">
        <v>35</v>
      </c>
      <c r="L14" s="4">
        <v>0.17</v>
      </c>
    </row>
    <row r="15" spans="1:16" x14ac:dyDescent="0.25">
      <c r="A15" s="2" t="s">
        <v>27</v>
      </c>
      <c r="B15" s="9">
        <f>B12*(1+$L$10-0.2%)^$L$3-B12</f>
        <v>0</v>
      </c>
      <c r="C15" s="9">
        <f t="shared" ref="C15:D15" si="1">C12*(1+$L$10-0.2%)^$L$3-C12</f>
        <v>650.66077585854009</v>
      </c>
      <c r="D15" s="9">
        <f t="shared" si="1"/>
        <v>12598.832223564161</v>
      </c>
      <c r="F15" s="5">
        <v>11</v>
      </c>
      <c r="G15" s="5">
        <v>4085.1405632218598</v>
      </c>
      <c r="H15" s="5">
        <v>3117.7827792830526</v>
      </c>
      <c r="I15" s="5">
        <v>3630.8897992746884</v>
      </c>
      <c r="K15" s="1" t="s">
        <v>38</v>
      </c>
      <c r="L15" s="4" cm="1">
        <f t="array" ref="L15">INDEX(P2:P7,MATCH(L2*(100%-10.19%),N2:N7,1)+1)</f>
        <v>0.35</v>
      </c>
    </row>
    <row r="16" spans="1:16" x14ac:dyDescent="0.25">
      <c r="A16" s="10" t="s">
        <v>28</v>
      </c>
      <c r="B16" s="11">
        <f>-B10*$L$13-B8</f>
        <v>-327.4425</v>
      </c>
      <c r="C16" s="11"/>
      <c r="D16" s="11"/>
      <c r="F16" s="5">
        <v>12</v>
      </c>
      <c r="G16" s="5">
        <v>4244.4926079346251</v>
      </c>
      <c r="H16" s="5">
        <v>3241.5334290426299</v>
      </c>
      <c r="I16" s="5">
        <v>3841.8445824350251</v>
      </c>
      <c r="K16" s="1" t="s">
        <v>39</v>
      </c>
      <c r="L16" s="17" cm="1">
        <f t="array" ref="L16">(INDEX(O2:O7,MATCH(L2*(100%-10.19%),N2:N7,1)+1)+INDEX(P2:P7,MATCH(L2*(100%-10.19%),N2:N7,1)+1)*(L2*(100%-10.19%)-INDEX(N2:N7,MATCH(L2*(100%-10.19%),N2:N7,1))))/L2*(100%-10.19%)</f>
        <v>0.20275826350000004</v>
      </c>
    </row>
    <row r="17" spans="1:12" x14ac:dyDescent="0.25">
      <c r="A17" s="10" t="s">
        <v>29</v>
      </c>
      <c r="B17" s="11">
        <f>-$L$14*B14-B11*$L$16</f>
        <v>0</v>
      </c>
      <c r="C17" s="11">
        <f>-$L$14*C14-C11*$L$16</f>
        <v>-1319.8441362755618</v>
      </c>
      <c r="D17" s="11"/>
      <c r="F17" s="5">
        <v>13</v>
      </c>
      <c r="G17" s="5">
        <v>4409.421974212336</v>
      </c>
      <c r="H17" s="5">
        <v>3370.2570153209699</v>
      </c>
      <c r="I17" s="5">
        <v>4067.1442908502645</v>
      </c>
      <c r="K17" s="21" t="s">
        <v>40</v>
      </c>
      <c r="L17" s="20">
        <v>0.26</v>
      </c>
    </row>
    <row r="18" spans="1:12" x14ac:dyDescent="0.25">
      <c r="A18" s="10" t="s">
        <v>30</v>
      </c>
      <c r="B18" s="11">
        <f t="shared" ref="B18:C18" si="2">-B15*$L$17</f>
        <v>0</v>
      </c>
      <c r="C18" s="11">
        <f t="shared" si="2"/>
        <v>-169.17180172322043</v>
      </c>
      <c r="D18" s="11">
        <f>-D15*$L$17</f>
        <v>-3275.6963781266818</v>
      </c>
      <c r="F18" s="5">
        <v>14</v>
      </c>
      <c r="G18" s="5">
        <v>4580.1238683097681</v>
      </c>
      <c r="H18" s="5">
        <v>3504.1626187639158</v>
      </c>
      <c r="I18" s="5">
        <v>4307.7643794377409</v>
      </c>
    </row>
    <row r="19" spans="1:12" x14ac:dyDescent="0.25">
      <c r="A19" s="1" t="s">
        <v>31</v>
      </c>
      <c r="B19" s="5">
        <f>B10+B13+B16</f>
        <v>8425.5436681151441</v>
      </c>
      <c r="C19" s="5"/>
      <c r="D19" s="5"/>
      <c r="F19" s="5">
        <v>15</v>
      </c>
      <c r="G19" s="5">
        <v>4756.8003287006095</v>
      </c>
      <c r="H19" s="5">
        <v>3643.4686970373232</v>
      </c>
      <c r="I19" s="5">
        <v>4564.7466340491646</v>
      </c>
    </row>
    <row r="20" spans="1:12" x14ac:dyDescent="0.25">
      <c r="A20" s="1" t="s">
        <v>32</v>
      </c>
      <c r="B20" s="5">
        <f>B11+B14+B17</f>
        <v>0</v>
      </c>
      <c r="C20" s="5">
        <f>C11+C14+C17</f>
        <v>5977.9104284350942</v>
      </c>
      <c r="D20" s="5"/>
      <c r="F20" s="5">
        <v>16</v>
      </c>
      <c r="G20" s="5">
        <v>4949.0159652051289</v>
      </c>
      <c r="H20" s="5">
        <v>3788.4035409470266</v>
      </c>
      <c r="I20" s="5">
        <v>4839.2036819741661</v>
      </c>
    </row>
    <row r="21" spans="1:12" x14ac:dyDescent="0.25">
      <c r="A21" s="1" t="s">
        <v>33</v>
      </c>
      <c r="B21" s="5">
        <f t="shared" ref="B21:C21" si="3">B12+B15+B18</f>
        <v>0</v>
      </c>
      <c r="C21" s="5">
        <f t="shared" si="3"/>
        <v>586.48897413531972</v>
      </c>
      <c r="D21" s="5">
        <f>D12+D15+D18</f>
        <v>11356.264985162728</v>
      </c>
      <c r="F21" s="5">
        <v>17</v>
      </c>
      <c r="G21" s="5">
        <v>5147.6317064873083</v>
      </c>
      <c r="H21" s="5">
        <v>3939.2057547680579</v>
      </c>
      <c r="I21" s="5">
        <v>5132.323809158067</v>
      </c>
    </row>
    <row r="22" spans="1:12" x14ac:dyDescent="0.25">
      <c r="A22" s="1" t="s">
        <v>34</v>
      </c>
      <c r="B22" s="5">
        <f>SUM(B19:B21)</f>
        <v>8425.5436681151441</v>
      </c>
      <c r="C22" s="5">
        <f t="shared" ref="C22:D22" si="4">SUM(C19:C21)</f>
        <v>6564.3994025704142</v>
      </c>
      <c r="D22" s="5">
        <f t="shared" si="4"/>
        <v>11356.264985162728</v>
      </c>
      <c r="F22" s="5">
        <v>18</v>
      </c>
      <c r="G22" s="5">
        <v>5352.8715562143643</v>
      </c>
      <c r="H22" s="5">
        <v>4096.1247621740922</v>
      </c>
      <c r="I22" s="5">
        <v>5445.3761049904733</v>
      </c>
    </row>
    <row r="23" spans="1:12" x14ac:dyDescent="0.25">
      <c r="F23" s="5">
        <v>19</v>
      </c>
      <c r="G23" s="5">
        <v>5564.9673581818661</v>
      </c>
      <c r="H23" s="5">
        <v>4259.4213392431038</v>
      </c>
      <c r="I23" s="5">
        <v>5779.7159569394835</v>
      </c>
    </row>
    <row r="24" spans="1:12" x14ac:dyDescent="0.25">
      <c r="F24" s="5">
        <v>20</v>
      </c>
      <c r="G24" s="5">
        <v>5784.1590707182304</v>
      </c>
      <c r="H24" s="5">
        <v>4429.3681761056532</v>
      </c>
      <c r="I24" s="5">
        <v>6136.790918821026</v>
      </c>
    </row>
    <row r="25" spans="1:12" x14ac:dyDescent="0.25">
      <c r="F25" s="5">
        <v>21</v>
      </c>
      <c r="G25" s="5">
        <v>6010.6950506933672</v>
      </c>
      <c r="H25" s="5">
        <v>4606.25046889843</v>
      </c>
      <c r="I25" s="5">
        <v>6518.1469781105134</v>
      </c>
    </row>
    <row r="26" spans="1:12" x14ac:dyDescent="0.25">
      <c r="F26" s="5">
        <v>22</v>
      </c>
      <c r="G26" s="5">
        <v>6244.8323474676354</v>
      </c>
      <c r="H26" s="5">
        <v>4790.3665437880736</v>
      </c>
      <c r="I26" s="5">
        <v>6925.4352494316872</v>
      </c>
    </row>
    <row r="27" spans="1:12" x14ac:dyDescent="0.25">
      <c r="F27" s="5">
        <v>23</v>
      </c>
      <c r="G27" s="5">
        <v>6486.8370071290028</v>
      </c>
      <c r="H27" s="5">
        <v>4982.028514939183</v>
      </c>
      <c r="I27" s="5">
        <v>7360.4191232026988</v>
      </c>
    </row>
    <row r="28" spans="1:12" x14ac:dyDescent="0.25">
      <c r="F28" s="5">
        <v>24</v>
      </c>
      <c r="G28" s="5">
        <v>6736.9843873785167</v>
      </c>
      <c r="H28" s="5">
        <v>5181.5629784163757</v>
      </c>
      <c r="I28" s="5">
        <v>7824.9819003901412</v>
      </c>
    </row>
    <row r="29" spans="1:12" x14ac:dyDescent="0.25">
      <c r="F29" s="5">
        <v>25</v>
      </c>
      <c r="G29" s="5">
        <v>6995.559483436763</v>
      </c>
      <c r="H29" s="5">
        <v>5389.3117441336171</v>
      </c>
      <c r="I29" s="5">
        <v>8321.1349464263294</v>
      </c>
    </row>
    <row r="30" spans="1:12" x14ac:dyDescent="0.25">
      <c r="F30" s="5">
        <v>26</v>
      </c>
      <c r="G30" s="5">
        <v>7262.8572653570509</v>
      </c>
      <c r="H30" s="5">
        <v>5605.6326080953631</v>
      </c>
      <c r="I30" s="5">
        <v>8851.0263995929763</v>
      </c>
    </row>
    <row r="31" spans="1:12" x14ac:dyDescent="0.25">
      <c r="F31" s="5">
        <v>27</v>
      </c>
      <c r="G31" s="5">
        <v>7539.1830271445469</v>
      </c>
      <c r="H31" s="5">
        <v>5830.9001673138318</v>
      </c>
      <c r="I31" s="5">
        <v>9416.9504715749572</v>
      </c>
    </row>
    <row r="32" spans="1:12" x14ac:dyDescent="0.25">
      <c r="F32" s="5">
        <v>28</v>
      </c>
      <c r="G32" s="5">
        <v>7824.8527480946059</v>
      </c>
      <c r="H32" s="5">
        <v>6065.5066799355081</v>
      </c>
      <c r="I32" s="5">
        <v>10021.357380451713</v>
      </c>
    </row>
    <row r="33" spans="6:9" x14ac:dyDescent="0.25">
      <c r="F33" s="5">
        <v>29</v>
      </c>
      <c r="G33" s="5">
        <v>8120.193466777916</v>
      </c>
      <c r="H33" s="5">
        <v>6309.8629732684176</v>
      </c>
      <c r="I33" s="5">
        <v>10666.863959132086</v>
      </c>
    </row>
    <row r="34" spans="6:9" x14ac:dyDescent="0.25">
      <c r="F34" s="5">
        <v>30</v>
      </c>
      <c r="G34" s="5">
        <v>8425.5436681151441</v>
      </c>
      <c r="H34" s="5">
        <v>6564.3994025704142</v>
      </c>
      <c r="I34" s="5">
        <v>11356.264985162728</v>
      </c>
    </row>
  </sheetData>
  <conditionalFormatting sqref="B22:D22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{C8A4A107-0679-431A-8548-BE622F5DD3EB}</x14:id>
        </ext>
      </extLst>
    </cfRule>
  </conditionalFormatting>
  <conditionalFormatting sqref="G2:I2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{7B5AB9DF-1747-4B58-B552-94E0664B5E2D}</x14:id>
        </ext>
      </extLst>
    </cfRule>
  </conditionalFormatting>
  <conditionalFormatting sqref="L5">
    <cfRule type="cellIs" dxfId="1" priority="1" operator="greaterThan">
      <formula>$L$4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A4A107-0679-431A-8548-BE622F5DD3E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B22:D22</xm:sqref>
        </x14:conditionalFormatting>
        <x14:conditionalFormatting xmlns:xm="http://schemas.microsoft.com/office/excel/2006/main">
          <x14:cfRule type="dataBar" id="{7B5AB9DF-1747-4B58-B552-94E0664B5E2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G2:I2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6E4D-0D72-44B7-9E13-A7797E75F356}">
  <dimension ref="A1:P34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5" sqref="B15:D15"/>
    </sheetView>
  </sheetViews>
  <sheetFormatPr defaultRowHeight="15" x14ac:dyDescent="0.25"/>
  <cols>
    <col min="1" max="1" width="18.5703125" bestFit="1" customWidth="1"/>
    <col min="2" max="2" width="9.28515625" bestFit="1" customWidth="1"/>
    <col min="3" max="3" width="14" bestFit="1" customWidth="1"/>
    <col min="4" max="4" width="12.140625" bestFit="1" customWidth="1"/>
    <col min="7" max="7" width="14.85546875" style="5" customWidth="1"/>
    <col min="8" max="9" width="14.85546875" customWidth="1"/>
    <col min="11" max="11" width="39.28515625" bestFit="1" customWidth="1"/>
    <col min="12" max="12" width="7.5703125" bestFit="1" customWidth="1"/>
    <col min="13" max="13" width="5.85546875" customWidth="1"/>
  </cols>
  <sheetData>
    <row r="1" spans="1:16" s="14" customFormat="1" ht="32.25" customHeight="1" x14ac:dyDescent="0.25">
      <c r="A1" s="13"/>
      <c r="B1" s="15" t="s">
        <v>0</v>
      </c>
      <c r="C1" s="15" t="s">
        <v>1</v>
      </c>
      <c r="D1" s="15" t="s">
        <v>2</v>
      </c>
      <c r="G1" s="18" t="s">
        <v>0</v>
      </c>
      <c r="H1" s="15" t="s">
        <v>1</v>
      </c>
      <c r="I1" s="15" t="s">
        <v>2</v>
      </c>
    </row>
    <row r="2" spans="1:16" x14ac:dyDescent="0.25">
      <c r="A2" s="1" t="s">
        <v>4</v>
      </c>
      <c r="B2" s="5">
        <f>L2*L4</f>
        <v>350</v>
      </c>
      <c r="C2" s="5"/>
      <c r="D2" s="5"/>
      <c r="G2" s="19"/>
      <c r="H2" s="19"/>
      <c r="I2" s="19"/>
      <c r="K2" s="1" t="s">
        <v>3</v>
      </c>
      <c r="L2" s="6">
        <v>35000</v>
      </c>
      <c r="N2" t="s">
        <v>16</v>
      </c>
      <c r="O2" t="s">
        <v>18</v>
      </c>
      <c r="P2" t="s">
        <v>17</v>
      </c>
    </row>
    <row r="3" spans="1:16" x14ac:dyDescent="0.25">
      <c r="A3" s="1" t="s">
        <v>12</v>
      </c>
      <c r="B3" s="5"/>
      <c r="C3" s="5">
        <f>B2</f>
        <v>350</v>
      </c>
      <c r="D3" s="5">
        <f>B2</f>
        <v>350</v>
      </c>
      <c r="K3" s="1" t="s">
        <v>11</v>
      </c>
      <c r="L3" s="7">
        <v>30</v>
      </c>
      <c r="N3">
        <v>0</v>
      </c>
      <c r="O3">
        <v>0</v>
      </c>
      <c r="P3" s="4">
        <v>0</v>
      </c>
    </row>
    <row r="4" spans="1:16" x14ac:dyDescent="0.25">
      <c r="A4" s="1" t="s">
        <v>21</v>
      </c>
      <c r="B4" s="5">
        <f>L5*L2</f>
        <v>350</v>
      </c>
      <c r="C4" s="5"/>
      <c r="D4" s="5"/>
      <c r="F4" s="5"/>
      <c r="G4" s="5">
        <f>B22</f>
        <v>8425.5436681151441</v>
      </c>
      <c r="H4" s="5">
        <f t="shared" ref="H4:I4" si="0">C22</f>
        <v>6564.3994025704142</v>
      </c>
      <c r="I4" s="5">
        <f t="shared" si="0"/>
        <v>11356.264985162728</v>
      </c>
      <c r="K4" s="1" t="s">
        <v>20</v>
      </c>
      <c r="L4" s="8">
        <v>0.01</v>
      </c>
      <c r="N4">
        <v>15000</v>
      </c>
      <c r="O4">
        <v>0</v>
      </c>
      <c r="P4" s="4">
        <v>0.23</v>
      </c>
    </row>
    <row r="5" spans="1:16" x14ac:dyDescent="0.25">
      <c r="A5" s="2" t="s">
        <v>5</v>
      </c>
      <c r="B5" s="9">
        <f>L2*6.91%*$L$6</f>
        <v>2418.5</v>
      </c>
      <c r="C5" s="9"/>
      <c r="D5" s="9"/>
      <c r="F5" s="5">
        <v>1</v>
      </c>
      <c r="G5" s="5">
        <f t="dataTable" ref="G5:I34" dt2D="0" dtr="0" r1="L3"/>
        <v>2900.2049999999995</v>
      </c>
      <c r="H5" s="5">
        <v>2113.6885522252505</v>
      </c>
      <c r="I5" s="5">
        <v>2135.4361980362246</v>
      </c>
      <c r="K5" s="1" t="s">
        <v>22</v>
      </c>
      <c r="L5" s="8">
        <v>0.01</v>
      </c>
      <c r="N5">
        <v>28000</v>
      </c>
      <c r="O5">
        <f>P4*(N4-N3)+O4</f>
        <v>3450</v>
      </c>
      <c r="P5" s="4">
        <v>0.25</v>
      </c>
    </row>
    <row r="6" spans="1:16" x14ac:dyDescent="0.25">
      <c r="A6" s="2" t="s">
        <v>6</v>
      </c>
      <c r="B6" s="9">
        <f>L2/13.5*(100%-$L$6)</f>
        <v>0</v>
      </c>
      <c r="C6" s="9">
        <f>$L$2*6.91%</f>
        <v>2418.5</v>
      </c>
      <c r="D6" s="9"/>
      <c r="F6" s="5">
        <v>2</v>
      </c>
      <c r="G6" s="5">
        <v>3013.1726624999997</v>
      </c>
      <c r="H6" s="5">
        <v>2197.4300924940007</v>
      </c>
      <c r="I6" s="5">
        <v>2244.7001363123454</v>
      </c>
      <c r="K6" s="1" t="s">
        <v>37</v>
      </c>
      <c r="L6" s="8">
        <v>1</v>
      </c>
      <c r="N6">
        <v>50000</v>
      </c>
      <c r="O6">
        <f>P5*(N5-N4)+O5</f>
        <v>6700</v>
      </c>
      <c r="P6" s="4">
        <v>0.35</v>
      </c>
    </row>
    <row r="7" spans="1:16" x14ac:dyDescent="0.25">
      <c r="A7" s="2" t="s">
        <v>7</v>
      </c>
      <c r="B7" s="9"/>
      <c r="C7" s="9"/>
      <c r="D7" s="9">
        <f>L2*6.91%</f>
        <v>2418.5</v>
      </c>
      <c r="F7" s="5">
        <v>3</v>
      </c>
      <c r="G7" s="5">
        <v>3130.0941931874991</v>
      </c>
      <c r="H7" s="5">
        <v>2284.4840485092286</v>
      </c>
      <c r="I7" s="5">
        <v>2361.3940223912427</v>
      </c>
      <c r="O7">
        <f>P6*(N6-N5)+O6</f>
        <v>14400</v>
      </c>
      <c r="P7" s="4">
        <v>0.43</v>
      </c>
    </row>
    <row r="8" spans="1:16" x14ac:dyDescent="0.25">
      <c r="A8" s="10" t="s">
        <v>23</v>
      </c>
      <c r="B8" s="11">
        <f>-MAX((B2+B4-5164.57)*L15,0)</f>
        <v>0</v>
      </c>
      <c r="C8" s="11">
        <f>-C3*$L$15-B4*$L$15</f>
        <v>-244.99999999999997</v>
      </c>
      <c r="D8" s="11">
        <f>-D3*$L$15-B4*$L$15</f>
        <v>-244.99999999999997</v>
      </c>
      <c r="F8" s="5">
        <v>4</v>
      </c>
      <c r="G8" s="5">
        <v>3251.1079774490613</v>
      </c>
      <c r="H8" s="5">
        <v>2374.9863392045036</v>
      </c>
      <c r="I8" s="5">
        <v>2486.0230927235048</v>
      </c>
      <c r="K8" s="1" t="s">
        <v>14</v>
      </c>
      <c r="L8" s="8">
        <v>0.03</v>
      </c>
    </row>
    <row r="9" spans="1:16" x14ac:dyDescent="0.25">
      <c r="A9" s="10" t="s">
        <v>24</v>
      </c>
      <c r="B9" s="11"/>
      <c r="C9" s="11"/>
      <c r="D9" s="11">
        <f>-L16*D7</f>
        <v>-490.3708602747501</v>
      </c>
      <c r="F9" s="5">
        <v>5</v>
      </c>
      <c r="G9" s="5">
        <v>3376.357244159778</v>
      </c>
      <c r="H9" s="5">
        <v>2469.0787763007306</v>
      </c>
      <c r="I9" s="5">
        <v>2619.1269398383606</v>
      </c>
      <c r="K9" s="1" t="s">
        <v>15</v>
      </c>
      <c r="L9" s="8">
        <v>3.5000000000000003E-2</v>
      </c>
    </row>
    <row r="10" spans="1:16" x14ac:dyDescent="0.25">
      <c r="A10" s="3" t="s">
        <v>8</v>
      </c>
      <c r="B10" s="12">
        <f>B2+B4+B5</f>
        <v>3118.5</v>
      </c>
      <c r="C10" s="12"/>
      <c r="D10" s="12"/>
      <c r="F10" s="5">
        <v>6</v>
      </c>
      <c r="G10" s="5">
        <v>3505.9902352053705</v>
      </c>
      <c r="H10" s="5">
        <v>2566.9093394019369</v>
      </c>
      <c r="I10" s="5">
        <v>2761.2818485570269</v>
      </c>
      <c r="K10" s="1" t="s">
        <v>41</v>
      </c>
      <c r="L10" s="8">
        <v>7.0000000000000007E-2</v>
      </c>
    </row>
    <row r="11" spans="1:16" x14ac:dyDescent="0.25">
      <c r="A11" s="3" t="s">
        <v>9</v>
      </c>
      <c r="B11" s="12">
        <f>B6</f>
        <v>0</v>
      </c>
      <c r="C11" s="12">
        <f>C6</f>
        <v>2418.5</v>
      </c>
      <c r="D11" s="12"/>
      <c r="F11" s="5">
        <v>7</v>
      </c>
      <c r="G11" s="5">
        <v>3640.1603809375583</v>
      </c>
      <c r="H11" s="5">
        <v>2668.6324650870538</v>
      </c>
      <c r="I11" s="5">
        <v>2913.1032910685626</v>
      </c>
    </row>
    <row r="12" spans="1:16" x14ac:dyDescent="0.25">
      <c r="A12" s="3" t="s">
        <v>10</v>
      </c>
      <c r="B12" s="12">
        <f>B3+B8+B7+B9</f>
        <v>0</v>
      </c>
      <c r="C12" s="12">
        <f>C3+C8+C7+C9</f>
        <v>105.00000000000003</v>
      </c>
      <c r="D12" s="12">
        <f>D3+D8+D7+D9</f>
        <v>2033.1291397252498</v>
      </c>
      <c r="F12" s="5">
        <v>8</v>
      </c>
      <c r="G12" s="5">
        <v>3779.0264817703719</v>
      </c>
      <c r="H12" s="5">
        <v>2774.4093507727748</v>
      </c>
      <c r="I12" s="5">
        <v>3075.2485916708829</v>
      </c>
      <c r="K12" s="1" t="s">
        <v>19</v>
      </c>
      <c r="L12" s="16">
        <f>1.5%+0.75*L8</f>
        <v>3.7499999999999999E-2</v>
      </c>
    </row>
    <row r="13" spans="1:16" x14ac:dyDescent="0.25">
      <c r="A13" s="2" t="s">
        <v>25</v>
      </c>
      <c r="B13" s="9">
        <f>B10*(1+$L$9)^$L$3-B10</f>
        <v>5634.4861681151433</v>
      </c>
      <c r="C13" s="9"/>
      <c r="D13" s="9"/>
      <c r="F13" s="5">
        <v>9</v>
      </c>
      <c r="G13" s="5">
        <v>3922.7528961323342</v>
      </c>
      <c r="H13" s="5">
        <v>2884.408274168667</v>
      </c>
      <c r="I13" s="5">
        <v>3248.4197727141604</v>
      </c>
      <c r="K13" s="1" t="s">
        <v>36</v>
      </c>
      <c r="L13" s="8">
        <v>0.105</v>
      </c>
    </row>
    <row r="14" spans="1:16" x14ac:dyDescent="0.25">
      <c r="A14" s="2" t="s">
        <v>26</v>
      </c>
      <c r="B14" s="9">
        <f>B11*(1+$L$12)^$L$3-B11</f>
        <v>0</v>
      </c>
      <c r="C14" s="9">
        <f>C11*(1+$L$12)^$L$3-C11</f>
        <v>4879.2545647106563</v>
      </c>
      <c r="D14" s="9"/>
      <c r="F14" s="5">
        <v>10</v>
      </c>
      <c r="G14" s="5">
        <v>4071.5097349969656</v>
      </c>
      <c r="H14" s="5">
        <v>2998.8049291946545</v>
      </c>
      <c r="I14" s="5">
        <v>3433.3665940683809</v>
      </c>
      <c r="K14" s="1" t="s">
        <v>35</v>
      </c>
      <c r="L14" s="4">
        <v>0.17</v>
      </c>
    </row>
    <row r="15" spans="1:16" x14ac:dyDescent="0.25">
      <c r="A15" s="2" t="s">
        <v>27</v>
      </c>
      <c r="B15" s="9">
        <f>B12*(1+$L$10-0.2%)^$L$3-B12</f>
        <v>0</v>
      </c>
      <c r="C15" s="9">
        <f t="shared" ref="C15:D15" si="1">C12*(1+$L$10-0.2%)^$L$3-C12</f>
        <v>650.66077585854009</v>
      </c>
      <c r="D15" s="9">
        <f t="shared" si="1"/>
        <v>12598.832223564161</v>
      </c>
      <c r="F15" s="5">
        <v>11</v>
      </c>
      <c r="G15" s="5">
        <v>4225.4730632218598</v>
      </c>
      <c r="H15" s="5">
        <v>3117.7827792830526</v>
      </c>
      <c r="I15" s="5">
        <v>3630.8897992746884</v>
      </c>
      <c r="K15" s="1" t="s">
        <v>38</v>
      </c>
      <c r="L15" s="4" cm="1">
        <f t="array" ref="L15">INDEX(P2:P7,MATCH(L2*(100%-10.19%),N2:N7,1)+1)</f>
        <v>0.35</v>
      </c>
    </row>
    <row r="16" spans="1:16" x14ac:dyDescent="0.25">
      <c r="A16" s="10" t="s">
        <v>28</v>
      </c>
      <c r="B16" s="11">
        <f>-B10*$L$13-B8</f>
        <v>-327.4425</v>
      </c>
      <c r="C16" s="11"/>
      <c r="D16" s="11"/>
      <c r="F16" s="5">
        <v>12</v>
      </c>
      <c r="G16" s="5">
        <v>4384.8251079346246</v>
      </c>
      <c r="H16" s="5">
        <v>3241.5334290426299</v>
      </c>
      <c r="I16" s="5">
        <v>3841.8445824350251</v>
      </c>
      <c r="K16" s="1" t="s">
        <v>39</v>
      </c>
      <c r="L16" s="17" cm="1">
        <f t="array" ref="L16">(INDEX(O2:O7,MATCH(L2*(100%-10.19%),N2:N7,1)+1)+INDEX(P2:P7,MATCH(L2*(100%-10.19%),N2:N7,1)+1)*(L2*(100%-10.19%)-INDEX(N2:N7,MATCH(L2*(100%-10.19%),N2:N7,1))))/L2*(100%-10.19%)</f>
        <v>0.20275826350000004</v>
      </c>
    </row>
    <row r="17" spans="1:12" x14ac:dyDescent="0.25">
      <c r="A17" s="10" t="s">
        <v>29</v>
      </c>
      <c r="B17" s="11">
        <f>-$L$14*B14-B11*$L$16</f>
        <v>0</v>
      </c>
      <c r="C17" s="11">
        <f>-$L$14*C14-C11*$L$16</f>
        <v>-1319.8441362755618</v>
      </c>
      <c r="D17" s="11"/>
      <c r="F17" s="5">
        <v>13</v>
      </c>
      <c r="G17" s="5">
        <v>4549.7544742123355</v>
      </c>
      <c r="H17" s="5">
        <v>3370.2570153209699</v>
      </c>
      <c r="I17" s="5">
        <v>4067.1442908502645</v>
      </c>
      <c r="K17" s="21" t="s">
        <v>40</v>
      </c>
      <c r="L17" s="20">
        <v>0.26</v>
      </c>
    </row>
    <row r="18" spans="1:12" x14ac:dyDescent="0.25">
      <c r="A18" s="10" t="s">
        <v>30</v>
      </c>
      <c r="B18" s="11">
        <f t="shared" ref="B18:C18" si="2">-B15*$L$17</f>
        <v>0</v>
      </c>
      <c r="C18" s="11">
        <f t="shared" si="2"/>
        <v>-169.17180172322043</v>
      </c>
      <c r="D18" s="11">
        <f>-D15*$L$17</f>
        <v>-3275.6963781266818</v>
      </c>
      <c r="F18" s="5">
        <v>14</v>
      </c>
      <c r="G18" s="5">
        <v>4720.4563683097676</v>
      </c>
      <c r="H18" s="5">
        <v>3504.1626187639158</v>
      </c>
      <c r="I18" s="5">
        <v>4307.7643794377409</v>
      </c>
    </row>
    <row r="19" spans="1:12" x14ac:dyDescent="0.25">
      <c r="A19" s="1" t="s">
        <v>31</v>
      </c>
      <c r="B19" s="5">
        <f>B10+B13+B16</f>
        <v>8425.5436681151441</v>
      </c>
      <c r="C19" s="5"/>
      <c r="D19" s="5"/>
      <c r="F19" s="5">
        <v>15</v>
      </c>
      <c r="G19" s="5">
        <v>4897.132828700609</v>
      </c>
      <c r="H19" s="5">
        <v>3643.4686970373232</v>
      </c>
      <c r="I19" s="5">
        <v>4564.7466340491646</v>
      </c>
    </row>
    <row r="20" spans="1:12" x14ac:dyDescent="0.25">
      <c r="A20" s="1" t="s">
        <v>32</v>
      </c>
      <c r="B20" s="5">
        <f>B11+B14+B17</f>
        <v>0</v>
      </c>
      <c r="C20" s="5">
        <f>C11+C14+C17</f>
        <v>5977.9104284350942</v>
      </c>
      <c r="D20" s="5"/>
      <c r="F20" s="5">
        <v>16</v>
      </c>
      <c r="G20" s="5">
        <v>5079.9929652051287</v>
      </c>
      <c r="H20" s="5">
        <v>3788.4035409470266</v>
      </c>
      <c r="I20" s="5">
        <v>4839.2036819741661</v>
      </c>
    </row>
    <row r="21" spans="1:12" x14ac:dyDescent="0.25">
      <c r="A21" s="1" t="s">
        <v>33</v>
      </c>
      <c r="B21" s="5">
        <f t="shared" ref="B21:C21" si="3">B12+B15+B18</f>
        <v>0</v>
      </c>
      <c r="C21" s="5">
        <f t="shared" si="3"/>
        <v>586.48897413531972</v>
      </c>
      <c r="D21" s="5">
        <f>D12+D15+D18</f>
        <v>11356.264985162728</v>
      </c>
      <c r="F21" s="5">
        <v>17</v>
      </c>
      <c r="G21" s="5">
        <v>5269.2532064873085</v>
      </c>
      <c r="H21" s="5">
        <v>3939.2057547680579</v>
      </c>
      <c r="I21" s="5">
        <v>5132.323809158067</v>
      </c>
    </row>
    <row r="22" spans="1:12" x14ac:dyDescent="0.25">
      <c r="A22" s="1" t="s">
        <v>34</v>
      </c>
      <c r="B22" s="5">
        <f>SUM(B19:B21)</f>
        <v>8425.5436681151441</v>
      </c>
      <c r="C22" s="5">
        <f t="shared" ref="C22:D22" si="4">SUM(C19:C21)</f>
        <v>6564.3994025704142</v>
      </c>
      <c r="D22" s="5">
        <f t="shared" si="4"/>
        <v>11356.264985162728</v>
      </c>
      <c r="F22" s="5">
        <v>18</v>
      </c>
      <c r="G22" s="5">
        <v>5465.1375562143639</v>
      </c>
      <c r="H22" s="5">
        <v>4096.1247621740922</v>
      </c>
      <c r="I22" s="5">
        <v>5445.3761049904733</v>
      </c>
    </row>
    <row r="23" spans="1:12" x14ac:dyDescent="0.25">
      <c r="F23" s="5">
        <v>19</v>
      </c>
      <c r="G23" s="5">
        <v>5667.877858181866</v>
      </c>
      <c r="H23" s="5">
        <v>4259.4213392431038</v>
      </c>
      <c r="I23" s="5">
        <v>5779.7159569394835</v>
      </c>
    </row>
    <row r="24" spans="1:12" x14ac:dyDescent="0.25">
      <c r="F24" s="5">
        <v>20</v>
      </c>
      <c r="G24" s="5">
        <v>5877.7140707182307</v>
      </c>
      <c r="H24" s="5">
        <v>4429.3681761056532</v>
      </c>
      <c r="I24" s="5">
        <v>6136.790918821026</v>
      </c>
    </row>
    <row r="25" spans="1:12" x14ac:dyDescent="0.25">
      <c r="F25" s="5">
        <v>21</v>
      </c>
      <c r="G25" s="5">
        <v>6094.8945506933669</v>
      </c>
      <c r="H25" s="5">
        <v>4606.25046889843</v>
      </c>
      <c r="I25" s="5">
        <v>6518.1469781105134</v>
      </c>
    </row>
    <row r="26" spans="1:12" x14ac:dyDescent="0.25">
      <c r="F26" s="5">
        <v>22</v>
      </c>
      <c r="G26" s="5">
        <v>6319.6763474676354</v>
      </c>
      <c r="H26" s="5">
        <v>4790.3665437880736</v>
      </c>
      <c r="I26" s="5">
        <v>6925.4352494316872</v>
      </c>
    </row>
    <row r="27" spans="1:12" x14ac:dyDescent="0.25">
      <c r="F27" s="5">
        <v>23</v>
      </c>
      <c r="G27" s="5">
        <v>6552.3255071290023</v>
      </c>
      <c r="H27" s="5">
        <v>4982.028514939183</v>
      </c>
      <c r="I27" s="5">
        <v>7360.4191232026988</v>
      </c>
    </row>
    <row r="28" spans="1:12" x14ac:dyDescent="0.25">
      <c r="F28" s="5">
        <v>24</v>
      </c>
      <c r="G28" s="5">
        <v>6793.1173873785165</v>
      </c>
      <c r="H28" s="5">
        <v>5181.5629784163757</v>
      </c>
      <c r="I28" s="5">
        <v>7824.9819003901412</v>
      </c>
    </row>
    <row r="29" spans="1:12" x14ac:dyDescent="0.25">
      <c r="F29" s="5">
        <v>25</v>
      </c>
      <c r="G29" s="5">
        <v>7042.3369834367631</v>
      </c>
      <c r="H29" s="5">
        <v>5389.3117441336171</v>
      </c>
      <c r="I29" s="5">
        <v>8321.1349464263294</v>
      </c>
    </row>
    <row r="30" spans="1:12" x14ac:dyDescent="0.25">
      <c r="F30" s="5">
        <v>26</v>
      </c>
      <c r="G30" s="5">
        <v>7300.2792653570505</v>
      </c>
      <c r="H30" s="5">
        <v>5605.6326080953631</v>
      </c>
      <c r="I30" s="5">
        <v>8851.0263995929763</v>
      </c>
    </row>
    <row r="31" spans="1:12" x14ac:dyDescent="0.25">
      <c r="F31" s="5">
        <v>27</v>
      </c>
      <c r="G31" s="5">
        <v>7567.2495271445468</v>
      </c>
      <c r="H31" s="5">
        <v>5830.9001673138318</v>
      </c>
      <c r="I31" s="5">
        <v>9416.9504715749572</v>
      </c>
    </row>
    <row r="32" spans="1:12" x14ac:dyDescent="0.25">
      <c r="F32" s="5">
        <v>28</v>
      </c>
      <c r="G32" s="5">
        <v>7843.5637480946061</v>
      </c>
      <c r="H32" s="5">
        <v>6065.5066799355081</v>
      </c>
      <c r="I32" s="5">
        <v>10021.357380451713</v>
      </c>
    </row>
    <row r="33" spans="6:9" x14ac:dyDescent="0.25">
      <c r="F33" s="5">
        <v>29</v>
      </c>
      <c r="G33" s="5">
        <v>8129.5489667779157</v>
      </c>
      <c r="H33" s="5">
        <v>6309.8629732684176</v>
      </c>
      <c r="I33" s="5">
        <v>10666.863959132086</v>
      </c>
    </row>
    <row r="34" spans="6:9" x14ac:dyDescent="0.25">
      <c r="F34" s="5">
        <v>30</v>
      </c>
      <c r="G34" s="5">
        <v>8425.5436681151441</v>
      </c>
      <c r="H34" s="5">
        <v>6564.3994025704142</v>
      </c>
      <c r="I34" s="5">
        <v>11356.264985162728</v>
      </c>
    </row>
  </sheetData>
  <conditionalFormatting sqref="B22:D22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{654E05ED-3A99-40D0-900B-A121C2427B4B}</x14:id>
        </ext>
      </extLst>
    </cfRule>
  </conditionalFormatting>
  <conditionalFormatting sqref="G2:I2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{D1AF9E5D-0C4D-49B2-B9AC-2C9F4FF03B5C}</x14:id>
        </ext>
      </extLst>
    </cfRule>
  </conditionalFormatting>
  <conditionalFormatting sqref="L5">
    <cfRule type="cellIs" dxfId="0" priority="1" operator="greaterThan">
      <formula>$L$4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4E05ED-3A99-40D0-900B-A121C2427B4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B22:D22</xm:sqref>
        </x14:conditionalFormatting>
        <x14:conditionalFormatting xmlns:xm="http://schemas.microsoft.com/office/excel/2006/main">
          <x14:cfRule type="dataBar" id="{D1AF9E5D-0C4D-49B2-B9AC-2C9F4FF03B5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G2:I2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MODIFICHE</vt:lpstr>
      <vt:lpstr>Analisi</vt:lpstr>
      <vt:lpstr>Analisi con aliquota bloccata</vt:lpstr>
      <vt:lpstr>Sheet1</vt:lpstr>
      <vt:lpstr>Analisi con tassazione posticip</vt:lpstr>
      <vt:lpstr>Analisi con tax post e aliq blo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2021-10-18T15:00:47Z</dcterms:created>
  <dcterms:modified xsi:type="dcterms:W3CDTF">2023-03-29T17:31:35Z</dcterms:modified>
</cp:coreProperties>
</file>